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202300"/>
  <mc:AlternateContent xmlns:mc="http://schemas.openxmlformats.org/markup-compatibility/2006">
    <mc:Choice Requires="x15">
      <x15ac:absPath xmlns:x15ac="http://schemas.microsoft.com/office/spreadsheetml/2010/11/ac" url="/Users/helinastil/Library/Mobile Documents/com~apple~CloudDocs/Downloads/"/>
    </mc:Choice>
  </mc:AlternateContent>
  <xr:revisionPtr revIDLastSave="0" documentId="8_{265FD475-36E2-2048-8F37-600E665E0E3F}" xr6:coauthVersionLast="47" xr6:coauthVersionMax="47" xr10:uidLastSave="{00000000-0000-0000-0000-000000000000}"/>
  <workbookProtection workbookAlgorithmName="SHA-512" workbookHashValue="DkaSlWlewRIqPp7Noyh080NMCBdWDKtVe7AwmsDYSQDTUWy8RaMjNKjS9hdFYiGopmRwswCwOF/qRW463Tq7hQ==" workbookSaltValue="XH6QSX75IYcoANk9R/I27A==" workbookSpinCount="100000" lockStructure="1"/>
  <bookViews>
    <workbookView xWindow="43500" yWindow="-4280" windowWidth="33600" windowHeight="20500" xr2:uid="{2D528530-E98E-A44C-9152-F19318936A73}"/>
  </bookViews>
  <sheets>
    <sheet name="Front page NZDAA Cals" sheetId="1" r:id="rId1"/>
    <sheet name="MFE Emissions Guidance Waste" sheetId="6" r:id="rId2"/>
    <sheet name="Guide to using the MFE Sheet" sheetId="5" r:id="rId3"/>
    <sheet name="Calculations" sheetId="2" state="hidden" r:id="rId4"/>
    <sheet name="Conditions of Use NZDAA Cals" sheetId="4" r:id="rId5"/>
  </sheets>
  <definedNames>
    <definedName name="Materials">Materials_List[Material]</definedName>
    <definedName name="_xlnm.Print_Area" localSheetId="4">'Conditions of Use NZDAA Cals'!$A$1:$G$39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 r="H59" i="6"/>
  <c r="G59" i="6"/>
  <c r="F59" i="6"/>
  <c r="E59" i="6"/>
  <c r="H58" i="6"/>
  <c r="G58" i="6"/>
  <c r="F58" i="6"/>
  <c r="E58" i="6"/>
  <c r="H57" i="6"/>
  <c r="G57" i="6"/>
  <c r="F57" i="6"/>
  <c r="E57" i="6"/>
  <c r="H56" i="6"/>
  <c r="G56" i="6"/>
  <c r="F56" i="6"/>
  <c r="E56" i="6"/>
  <c r="H55" i="6"/>
  <c r="G55" i="6"/>
  <c r="F55" i="6"/>
  <c r="E55" i="6"/>
  <c r="H54" i="6"/>
  <c r="G54" i="6"/>
  <c r="F54" i="6"/>
  <c r="E54" i="6"/>
  <c r="H53" i="6"/>
  <c r="G53" i="6"/>
  <c r="F53" i="6"/>
  <c r="E53" i="6"/>
  <c r="H52" i="6"/>
  <c r="G52" i="6"/>
  <c r="F52" i="6"/>
  <c r="E52" i="6" s="1"/>
  <c r="H51" i="6"/>
  <c r="G51" i="6"/>
  <c r="F51" i="6"/>
  <c r="E51" i="6"/>
  <c r="H46" i="6"/>
  <c r="H47" i="6" s="1"/>
  <c r="G46" i="6"/>
  <c r="G47" i="6" s="1"/>
  <c r="F46" i="6"/>
  <c r="F47" i="6" s="1"/>
  <c r="E46" i="6"/>
  <c r="E47" i="6" s="1"/>
  <c r="H45" i="6"/>
  <c r="G45" i="6"/>
  <c r="F45" i="6"/>
  <c r="E45" i="6"/>
  <c r="H40" i="6"/>
  <c r="G40" i="6"/>
  <c r="F40" i="6"/>
  <c r="E40" i="6"/>
  <c r="H39" i="6"/>
  <c r="G39" i="6"/>
  <c r="F39" i="6"/>
  <c r="E39" i="6"/>
  <c r="H38" i="6"/>
  <c r="G38" i="6"/>
  <c r="F38" i="6"/>
  <c r="E38" i="6"/>
  <c r="H37" i="6"/>
  <c r="G37" i="6"/>
  <c r="F37" i="6"/>
  <c r="E37" i="6"/>
  <c r="H36" i="6"/>
  <c r="G36" i="6"/>
  <c r="F36" i="6"/>
  <c r="E36" i="6"/>
  <c r="H35" i="6"/>
  <c r="G35" i="6"/>
  <c r="F35" i="6"/>
  <c r="E35" i="6"/>
  <c r="H34" i="6"/>
  <c r="G34" i="6"/>
  <c r="F34" i="6"/>
  <c r="E34" i="6"/>
  <c r="H33" i="6"/>
  <c r="G33" i="6"/>
  <c r="F33" i="6"/>
  <c r="E33" i="6" s="1"/>
  <c r="H32" i="6"/>
  <c r="G32" i="6"/>
  <c r="F32" i="6"/>
  <c r="E32" i="6"/>
  <c r="H31" i="6"/>
  <c r="G31" i="6"/>
  <c r="F31" i="6"/>
  <c r="E31" i="6"/>
  <c r="H30" i="6"/>
  <c r="G30" i="6"/>
  <c r="F30" i="6"/>
  <c r="E30" i="6"/>
  <c r="H29" i="6"/>
  <c r="H41" i="6" s="1"/>
  <c r="G29" i="6"/>
  <c r="G41" i="6" s="1"/>
  <c r="F29" i="6"/>
  <c r="F41" i="6" s="1"/>
  <c r="H24" i="6"/>
  <c r="G24" i="6"/>
  <c r="F24" i="6"/>
  <c r="E24" i="6"/>
  <c r="H23" i="6"/>
  <c r="G23" i="6"/>
  <c r="F23" i="6"/>
  <c r="E23" i="6"/>
  <c r="H22" i="6"/>
  <c r="G22" i="6"/>
  <c r="F22" i="6"/>
  <c r="E22" i="6"/>
  <c r="H21" i="6"/>
  <c r="G21" i="6"/>
  <c r="F21" i="6"/>
  <c r="E21" i="6"/>
  <c r="H20" i="6"/>
  <c r="G20" i="6"/>
  <c r="F20" i="6"/>
  <c r="E20" i="6"/>
  <c r="H19" i="6"/>
  <c r="G19" i="6"/>
  <c r="F19" i="6"/>
  <c r="E19" i="6" s="1"/>
  <c r="H18" i="6"/>
  <c r="G18" i="6"/>
  <c r="F18" i="6"/>
  <c r="E18" i="6" s="1"/>
  <c r="H17" i="6"/>
  <c r="G17" i="6"/>
  <c r="F17" i="6"/>
  <c r="E17" i="6"/>
  <c r="H16" i="6"/>
  <c r="G16" i="6"/>
  <c r="F16" i="6"/>
  <c r="E16" i="6"/>
  <c r="H15" i="6"/>
  <c r="G15" i="6"/>
  <c r="F15" i="6"/>
  <c r="E15" i="6"/>
  <c r="H14" i="6"/>
  <c r="G14" i="6"/>
  <c r="F14" i="6"/>
  <c r="E14" i="6"/>
  <c r="H13" i="6"/>
  <c r="G13" i="6"/>
  <c r="F13" i="6"/>
  <c r="E13" i="6"/>
  <c r="F25" i="6" l="1"/>
  <c r="G25" i="6"/>
  <c r="E60" i="6"/>
  <c r="G60" i="6"/>
  <c r="F60" i="6"/>
  <c r="H60" i="6"/>
  <c r="E29" i="6"/>
  <c r="E41" i="6" s="1"/>
  <c r="H25" i="6"/>
  <c r="E25" i="6"/>
  <c r="F9" i="6"/>
  <c r="G9" i="6"/>
  <c r="H9" i="6"/>
  <c r="E9" i="6" l="1"/>
  <c r="I27" i="1" l="1"/>
  <c r="I19" i="1"/>
  <c r="I20" i="1"/>
  <c r="I21" i="1"/>
  <c r="I22" i="1"/>
  <c r="I23" i="1"/>
  <c r="I24" i="1"/>
  <c r="I25" i="1"/>
  <c r="I26" i="1"/>
  <c r="I28" i="1"/>
  <c r="I29" i="1"/>
  <c r="I30" i="1"/>
  <c r="I31" i="1"/>
  <c r="I32" i="1"/>
  <c r="I33" i="1"/>
  <c r="I34" i="1"/>
  <c r="I35" i="1"/>
  <c r="I36" i="1"/>
  <c r="I37" i="1"/>
  <c r="I18" i="1"/>
  <c r="C146" i="2"/>
  <c r="H37" i="1"/>
  <c r="H36" i="1"/>
  <c r="H35" i="1"/>
  <c r="H34" i="1"/>
  <c r="H33" i="1"/>
  <c r="E37" i="1"/>
  <c r="E36" i="1"/>
  <c r="E35" i="1"/>
  <c r="E34" i="1"/>
  <c r="E33" i="1"/>
  <c r="D37" i="1"/>
  <c r="G37" i="1" s="1"/>
  <c r="D36" i="1"/>
  <c r="G36" i="1" s="1"/>
  <c r="D35" i="1"/>
  <c r="G35" i="1" s="1"/>
  <c r="D34" i="1"/>
  <c r="G34" i="1" s="1"/>
  <c r="D33" i="1"/>
  <c r="G33" i="1" s="1"/>
  <c r="C37" i="1"/>
  <c r="C36" i="1"/>
  <c r="C35" i="1"/>
  <c r="C34" i="1"/>
  <c r="C33" i="1"/>
  <c r="C43" i="2" l="1"/>
  <c r="C42" i="2"/>
  <c r="C41" i="2"/>
  <c r="C369" i="2"/>
  <c r="C366" i="2"/>
  <c r="C363" i="2"/>
  <c r="C360" i="2"/>
  <c r="C358" i="2"/>
  <c r="C375" i="2"/>
  <c r="C372" i="2"/>
  <c r="C370" i="2"/>
  <c r="C367" i="2"/>
  <c r="C364" i="2"/>
  <c r="C361" i="2"/>
  <c r="C313" i="2"/>
  <c r="C376" i="2"/>
  <c r="C373" i="2"/>
  <c r="C368" i="2"/>
  <c r="C365" i="2"/>
  <c r="C362" i="2"/>
  <c r="C359" i="2"/>
  <c r="C357" i="2"/>
  <c r="C374" i="2"/>
  <c r="C371" i="2"/>
  <c r="C411" i="2"/>
  <c r="C408" i="2"/>
  <c r="C405" i="2"/>
  <c r="C402" i="2"/>
  <c r="C399" i="2"/>
  <c r="C417" i="2"/>
  <c r="C414" i="2"/>
  <c r="C412" i="2"/>
  <c r="C409" i="2"/>
  <c r="C406" i="2"/>
  <c r="C403" i="2"/>
  <c r="C400" i="2"/>
  <c r="C418" i="2"/>
  <c r="C415" i="2"/>
  <c r="C410" i="2"/>
  <c r="C407" i="2"/>
  <c r="C404" i="2"/>
  <c r="C401" i="2"/>
  <c r="C398" i="2"/>
  <c r="C416" i="2"/>
  <c r="C413" i="2"/>
  <c r="C348" i="2"/>
  <c r="C345" i="2"/>
  <c r="C342" i="2"/>
  <c r="C339" i="2"/>
  <c r="C337" i="2"/>
  <c r="C354" i="2"/>
  <c r="C351" i="2"/>
  <c r="C349" i="2"/>
  <c r="C346" i="2"/>
  <c r="C343" i="2"/>
  <c r="C340" i="2"/>
  <c r="C338" i="2"/>
  <c r="C355" i="2"/>
  <c r="C352" i="2"/>
  <c r="C347" i="2"/>
  <c r="C344" i="2"/>
  <c r="C341" i="2"/>
  <c r="C356" i="2"/>
  <c r="C336" i="2"/>
  <c r="C353" i="2"/>
  <c r="C350" i="2"/>
  <c r="C326" i="2"/>
  <c r="C324" i="2"/>
  <c r="C321" i="2"/>
  <c r="C318" i="2"/>
  <c r="C315" i="2"/>
  <c r="C332" i="2"/>
  <c r="C329" i="2"/>
  <c r="C327" i="2"/>
  <c r="C325" i="2"/>
  <c r="C322" i="2"/>
  <c r="C319" i="2"/>
  <c r="C316" i="2"/>
  <c r="C333" i="2"/>
  <c r="C330" i="2"/>
  <c r="C334" i="2"/>
  <c r="C323" i="2"/>
  <c r="C320" i="2"/>
  <c r="C317" i="2"/>
  <c r="C314" i="2"/>
  <c r="C331" i="2"/>
  <c r="C328" i="2"/>
  <c r="C390" i="2"/>
  <c r="C387" i="2"/>
  <c r="C384" i="2"/>
  <c r="C381" i="2"/>
  <c r="C378" i="2"/>
  <c r="C396" i="2"/>
  <c r="C393" i="2"/>
  <c r="C391" i="2"/>
  <c r="C388" i="2"/>
  <c r="C385" i="2"/>
  <c r="C382" i="2"/>
  <c r="C379" i="2"/>
  <c r="C397" i="2"/>
  <c r="C394" i="2"/>
  <c r="C389" i="2"/>
  <c r="C386" i="2"/>
  <c r="C383" i="2"/>
  <c r="C380" i="2"/>
  <c r="C377" i="2"/>
  <c r="C395" i="2"/>
  <c r="C392" i="2"/>
  <c r="C143" i="2"/>
  <c r="H32" i="1"/>
  <c r="H31" i="1"/>
  <c r="H30" i="1"/>
  <c r="H29" i="1"/>
  <c r="H28" i="1"/>
  <c r="H27" i="1"/>
  <c r="H26" i="1"/>
  <c r="H25" i="1"/>
  <c r="H24" i="1"/>
  <c r="H23" i="1"/>
  <c r="H22" i="1"/>
  <c r="H21" i="1"/>
  <c r="H19" i="1"/>
  <c r="H20" i="1"/>
  <c r="H18" i="1"/>
  <c r="E18" i="1"/>
  <c r="E19" i="1"/>
  <c r="E20" i="1"/>
  <c r="E21" i="1"/>
  <c r="E22" i="1"/>
  <c r="E23" i="1"/>
  <c r="E24" i="1"/>
  <c r="E25" i="1"/>
  <c r="E26" i="1"/>
  <c r="E27" i="1"/>
  <c r="E28" i="1"/>
  <c r="E29" i="1"/>
  <c r="E30" i="1"/>
  <c r="E31" i="1"/>
  <c r="E32" i="1"/>
  <c r="D32" i="1"/>
  <c r="D31" i="1"/>
  <c r="D30" i="1"/>
  <c r="D29" i="1"/>
  <c r="G29" i="1" s="1"/>
  <c r="D28" i="1"/>
  <c r="D27" i="1"/>
  <c r="G27" i="1" s="1"/>
  <c r="D26" i="1"/>
  <c r="D25" i="1"/>
  <c r="G25" i="1" s="1"/>
  <c r="D24" i="1"/>
  <c r="D23" i="1"/>
  <c r="D22" i="1"/>
  <c r="D21" i="1"/>
  <c r="C32" i="1"/>
  <c r="C31" i="1"/>
  <c r="C30" i="1"/>
  <c r="C29" i="1"/>
  <c r="C28" i="1"/>
  <c r="C27" i="1"/>
  <c r="C26" i="1"/>
  <c r="C23" i="1"/>
  <c r="C22" i="1"/>
  <c r="C21" i="1"/>
  <c r="D20" i="1"/>
  <c r="G20" i="1" s="1"/>
  <c r="C20" i="1"/>
  <c r="D19" i="1"/>
  <c r="G19" i="1" s="1"/>
  <c r="C19" i="1"/>
  <c r="D18" i="1"/>
  <c r="G18" i="1" s="1"/>
  <c r="C18" i="1"/>
  <c r="G26" i="1" l="1"/>
  <c r="G28" i="1"/>
  <c r="G22" i="1"/>
  <c r="G24" i="1"/>
  <c r="G21" i="1"/>
  <c r="G31" i="1"/>
  <c r="G30" i="1"/>
  <c r="G32" i="1"/>
  <c r="G23" i="1"/>
  <c r="G39" i="1" l="1"/>
  <c r="G40" i="1" s="1"/>
</calcChain>
</file>

<file path=xl/sharedStrings.xml><?xml version="1.0" encoding="utf-8"?>
<sst xmlns="http://schemas.openxmlformats.org/spreadsheetml/2006/main" count="1284" uniqueCount="570">
  <si>
    <t>Peat</t>
  </si>
  <si>
    <t>m3</t>
  </si>
  <si>
    <t>Charcoal (light)</t>
  </si>
  <si>
    <t>Coke</t>
  </si>
  <si>
    <t>Graphite</t>
  </si>
  <si>
    <t>Crude Oil</t>
  </si>
  <si>
    <t>Pitch</t>
  </si>
  <si>
    <t>Coal tar</t>
  </si>
  <si>
    <t>Clay (dry, compact)</t>
  </si>
  <si>
    <t>Clay (wet, compact)</t>
  </si>
  <si>
    <t>Earth (dry)</t>
  </si>
  <si>
    <t>Earth (moist)</t>
  </si>
  <si>
    <t>Sand (dry)</t>
  </si>
  <si>
    <t>Sand (wet)</t>
  </si>
  <si>
    <t>Petrol</t>
  </si>
  <si>
    <t>Water</t>
  </si>
  <si>
    <t>Bricks</t>
  </si>
  <si>
    <t>Cement (ordinary)</t>
  </si>
  <si>
    <t>Cement (reinforced)</t>
  </si>
  <si>
    <t>Plywood</t>
  </si>
  <si>
    <t>m2</t>
  </si>
  <si>
    <t>Plywood structural 9mm</t>
  </si>
  <si>
    <t>Plywood structural 7mm</t>
  </si>
  <si>
    <t>Plywood structural 12mm</t>
  </si>
  <si>
    <t>Timber - hardwood</t>
  </si>
  <si>
    <t>Timber - softwood</t>
  </si>
  <si>
    <t>Ceiling tiles - suspended</t>
  </si>
  <si>
    <t>Dry rubble / masonry</t>
  </si>
  <si>
    <t>Wire + fittings + building paper</t>
  </si>
  <si>
    <t>Insulation Pink Batts</t>
  </si>
  <si>
    <t>Insulation EPS 60mm</t>
  </si>
  <si>
    <t>Celing battens (at 450 centers)</t>
  </si>
  <si>
    <t>Flooring - Carpet tiles</t>
  </si>
  <si>
    <t>Flooring - TNG hardwood 19mm</t>
  </si>
  <si>
    <t>Flooring - TNG softwood 19mm</t>
  </si>
  <si>
    <t>Flooring - vinyl 3.2mm</t>
  </si>
  <si>
    <t>Flooring - TNG hardwood 12mm</t>
  </si>
  <si>
    <t>Flooring - TNG softwood 12mm</t>
  </si>
  <si>
    <t>Tiles - Ceramic 6mm</t>
  </si>
  <si>
    <t>Tiles - Ceramic 8mm</t>
  </si>
  <si>
    <t>Tiles - Ceramic 10mm</t>
  </si>
  <si>
    <t>Tiles - Ceramic 12mm</t>
  </si>
  <si>
    <t>Tiles - Porcelain 10mm</t>
  </si>
  <si>
    <t>Tiles - Porcelain 12mm</t>
  </si>
  <si>
    <t>Tiles - Porcelain 8mm</t>
  </si>
  <si>
    <t>Tiles - Natural stone 10mm</t>
  </si>
  <si>
    <t>Tiles - Natural stone 12mm</t>
  </si>
  <si>
    <t>Tiles - Natural stone 20mm</t>
  </si>
  <si>
    <t>Timber studs</t>
  </si>
  <si>
    <t>15mm concrete render</t>
  </si>
  <si>
    <t>Fibrous plaster 10mm</t>
  </si>
  <si>
    <t xml:space="preserve">Lime plaster 13mm </t>
  </si>
  <si>
    <t>Portland cement plaster 13mm</t>
  </si>
  <si>
    <t>Steel reinforcing mesh</t>
  </si>
  <si>
    <t>Suspended metal lathe and gib</t>
  </si>
  <si>
    <t>Asbestos flat sheeting up to 4.7mm</t>
  </si>
  <si>
    <t>Asbestos super six roofing 6mm standard corrugation</t>
  </si>
  <si>
    <t>Asbestos super six roofing 6mm thick corrugation</t>
  </si>
  <si>
    <t xml:space="preserve">Asbestos flat sheeting 6.3mm </t>
  </si>
  <si>
    <t>Asbestos cement roof slates</t>
  </si>
  <si>
    <t>Roofing - aluminium corrugated 1.0mm including lap and fastenings</t>
  </si>
  <si>
    <t>Roofing - aluminium corrugated 1.25mm including lap and fastenings</t>
  </si>
  <si>
    <t>Roofing - Mangalore tiles and battens</t>
  </si>
  <si>
    <t>Roofing - amuminium corrugated 0.8nn including lap and fastenings</t>
  </si>
  <si>
    <t>Roofing - galvanised standard corrugated sheeting 1.0mm including lap and fastenings</t>
  </si>
  <si>
    <t>Roofing - galvanised standard corrugated sheeting 0.8mm including lap and fastenings</t>
  </si>
  <si>
    <t>Roofing - galvanised standard corrugated sheeting 0.6mm including lap and fastenings</t>
  </si>
  <si>
    <t>Roofing - bituminous felt (5 ply) and gravel</t>
  </si>
  <si>
    <t>Roofing - terra cotta tiles</t>
  </si>
  <si>
    <t>Roofing - concrete tiles</t>
  </si>
  <si>
    <t>Roofing - Monier Hacienda C-Loc concrete tiles</t>
  </si>
  <si>
    <t>Roofing - pressed metal roof tile sheets</t>
  </si>
  <si>
    <t>Roofing - Ecostar slate roof tiles</t>
  </si>
  <si>
    <t>Cladding - galvanised 0.56mm</t>
  </si>
  <si>
    <t>Cladding - galvanised 1.63mm</t>
  </si>
  <si>
    <t>Cladding - ComTex panel 9mm</t>
  </si>
  <si>
    <t>Cladding - Artefoam PVC foam</t>
  </si>
  <si>
    <t>Cladding - AAC 50mm including coatings and substrate</t>
  </si>
  <si>
    <t>Cladding - AAC 75mm including coatings and substate</t>
  </si>
  <si>
    <t>Cladding - AAC 100mm including coatings and substate</t>
  </si>
  <si>
    <t>Flooring - AAC floor system 75mm excluding coverings</t>
  </si>
  <si>
    <t>Fooring - AAC floor system 50mm excluding coverings</t>
  </si>
  <si>
    <t>Roofing - waterproofing membrane</t>
  </si>
  <si>
    <t>Roofing - bitumous felt (3 ply) and gravel</t>
  </si>
  <si>
    <t>Roofing - mineral surfaced butimen</t>
  </si>
  <si>
    <t>Cladding - galvanised 0.3mm</t>
  </si>
  <si>
    <t>Cladding - galvanised 0.4mm</t>
  </si>
  <si>
    <t>Cladding - galvanised 0.45mm</t>
  </si>
  <si>
    <t>Cladding - galvanised 0.6mm</t>
  </si>
  <si>
    <t>Cladding - galvanised 0.7</t>
  </si>
  <si>
    <t>Cladding - aluminium 0.7mm</t>
  </si>
  <si>
    <t>Cladding - aluminium 0.9mm</t>
  </si>
  <si>
    <t>Cladding - aluminium 1.2mm</t>
  </si>
  <si>
    <t>Cladding - aluminium double skin with EPS insluation core</t>
  </si>
  <si>
    <t>Cladding - double skin steel with EPS insulation core</t>
  </si>
  <si>
    <t>Cladding - fibre cement 8mm single skin (non asbestos)</t>
  </si>
  <si>
    <t>Cladding - fibre cement double cladding with battens</t>
  </si>
  <si>
    <t>Ashpalt 12mm</t>
  </si>
  <si>
    <t>Ashpalt 25mm</t>
  </si>
  <si>
    <t>Screed - vermiculite 25mm</t>
  </si>
  <si>
    <t>Screed - sand / cement 25mm</t>
  </si>
  <si>
    <t>Roofing - Smartpanel 165mm</t>
  </si>
  <si>
    <t>Roofing - Smartpanel 215mm</t>
  </si>
  <si>
    <t>Cladding - timber weatherboard 9.5mm</t>
  </si>
  <si>
    <t>Cladding - timber cedar</t>
  </si>
  <si>
    <t>Concrete block wall hollow double 230x200x70mm not rendered</t>
  </si>
  <si>
    <t>Concrete block wall hollow standard and a half 230x90x70mm not rendered</t>
  </si>
  <si>
    <t>Wood Panels - TGnV softwood wall lining 10mm</t>
  </si>
  <si>
    <t>Wood Panels - TGnV softwood wall lining 12mm</t>
  </si>
  <si>
    <t>Wood Panels - Sandsarking wood</t>
  </si>
  <si>
    <t xml:space="preserve">Wood Panels - Shadow-clad goove timber </t>
  </si>
  <si>
    <t>Wood Panels - Eco-ply 7mm</t>
  </si>
  <si>
    <t>Wood Panels - Eco-ply 9mm</t>
  </si>
  <si>
    <t>Wood Panels - Eco-ply 15mm</t>
  </si>
  <si>
    <t>Wood Panels - Eco-ply 17mm</t>
  </si>
  <si>
    <t>Wood Panels - Eco-ply 19mm</t>
  </si>
  <si>
    <t>Partical Board 15mm</t>
  </si>
  <si>
    <t>Partical board 19mm</t>
  </si>
  <si>
    <t>Gib / Plasterboard standard 10mm</t>
  </si>
  <si>
    <t>Gib / Plasterboard standard 13mm</t>
  </si>
  <si>
    <t>Gib / Plasterboard Fyreline 10mm</t>
  </si>
  <si>
    <t>Gib / Plasterboard Fyreline 13mm</t>
  </si>
  <si>
    <t>Gib / Plasterboard Fyreline 16mm</t>
  </si>
  <si>
    <t>Gib / Plasterboard Fyreline 19mm</t>
  </si>
  <si>
    <t>Gib / Plasterboard Aqualine 10mm</t>
  </si>
  <si>
    <t>Gib / Plasterboard Aqualine 13mm</t>
  </si>
  <si>
    <t>Timber stud wall 100mm with gib both sides</t>
  </si>
  <si>
    <t xml:space="preserve">Solid core partitions 25mm </t>
  </si>
  <si>
    <t>Glass 6mm with window frames</t>
  </si>
  <si>
    <t>Smart Panel wall 165mm</t>
  </si>
  <si>
    <t>Smart Panel wall and roof 115mm</t>
  </si>
  <si>
    <t>Cladding - timber light</t>
  </si>
  <si>
    <t xml:space="preserve">Cladding - veneer brick </t>
  </si>
  <si>
    <t xml:space="preserve">Cladding - stucco </t>
  </si>
  <si>
    <t>Concrete slab 90mm floor</t>
  </si>
  <si>
    <t>Concrete slab 100mm floor</t>
  </si>
  <si>
    <t>Concrete slab 125mm</t>
  </si>
  <si>
    <t>Concrete slab 225mm</t>
  </si>
  <si>
    <t>Concrete slab 250mm</t>
  </si>
  <si>
    <t>Steel plate 3mm</t>
  </si>
  <si>
    <t>Steel plate 4mm</t>
  </si>
  <si>
    <t>Steel plate 5mm</t>
  </si>
  <si>
    <t>Steel plate 8mm</t>
  </si>
  <si>
    <t>Steel plate 10mm</t>
  </si>
  <si>
    <t>Steel plate 12.5mm</t>
  </si>
  <si>
    <t>Steel plate 15mm</t>
  </si>
  <si>
    <t>Cold-drawn steel</t>
  </si>
  <si>
    <t>Glass float 5mm</t>
  </si>
  <si>
    <t>Glass float 6mm</t>
  </si>
  <si>
    <t>Glass fload 8mm</t>
  </si>
  <si>
    <t>Glass float 10mm</t>
  </si>
  <si>
    <t>Glass float 12mm</t>
  </si>
  <si>
    <t>Glass laminated 4.4mm</t>
  </si>
  <si>
    <t>Glass laminated 6.4mm</t>
  </si>
  <si>
    <t>Glass laminated 6.8mm</t>
  </si>
  <si>
    <t>Glass laminated 7.5mm</t>
  </si>
  <si>
    <t>Glass laminated 8.8mm</t>
  </si>
  <si>
    <t>Glass laminated 10.8mm</t>
  </si>
  <si>
    <t>Glass laminated 11.5mm</t>
  </si>
  <si>
    <t>Glass wired fire resistant 6.8mm</t>
  </si>
  <si>
    <t>Glass wired fire resistant 7mm</t>
  </si>
  <si>
    <t>General Information:</t>
  </si>
  <si>
    <t xml:space="preserve">The Author (New Zealand Demolition and Asbestos Assocation) takes no liability </t>
  </si>
  <si>
    <t>for the use of this spreadsheet and gives no guarentee that it is error free.</t>
  </si>
  <si>
    <t>In no event shall the Author be responsible for any special, incidental, or consequencial</t>
  </si>
  <si>
    <t xml:space="preserve">damages whatsoever from the use of this spreadsheet, even if the Author has been advised of </t>
  </si>
  <si>
    <t>the possibility of such damage.</t>
  </si>
  <si>
    <t>This spreadsheet is freeware and can be distributed freely but only in its original form.</t>
  </si>
  <si>
    <t xml:space="preserve">Reverse engineering, decompiling or disassembling of this spreadsheet is strictly </t>
  </si>
  <si>
    <t>prohibited.</t>
  </si>
  <si>
    <t>By using this spreadsheet you understand and agree with the above terms and conditions.</t>
  </si>
  <si>
    <t>You also acknowledge that you do not become the owner of this spreadsheet.</t>
  </si>
  <si>
    <t>Conditions of Use:</t>
  </si>
  <si>
    <t>Material</t>
  </si>
  <si>
    <t>Min weight</t>
  </si>
  <si>
    <t>Max weight</t>
  </si>
  <si>
    <t>Unit measure</t>
  </si>
  <si>
    <t>Comments</t>
  </si>
  <si>
    <t>Select building materials:</t>
  </si>
  <si>
    <t>Measure</t>
  </si>
  <si>
    <t>Min. Weight</t>
  </si>
  <si>
    <t>Max. Weight</t>
  </si>
  <si>
    <t>Total weight (kg's)</t>
  </si>
  <si>
    <t>Tons</t>
  </si>
  <si>
    <t>Yes</t>
  </si>
  <si>
    <t>Date:</t>
  </si>
  <si>
    <t>Job No:</t>
  </si>
  <si>
    <t>Prepared by:</t>
  </si>
  <si>
    <t>Building name / site address:</t>
  </si>
  <si>
    <t>Area / Location:</t>
  </si>
  <si>
    <t xml:space="preserve">Note for user: </t>
  </si>
  <si>
    <t>Materials Weight Calculations</t>
  </si>
  <si>
    <t>Click to select building material</t>
  </si>
  <si>
    <t>Cal. Weight (kg)</t>
  </si>
  <si>
    <t>* all weights are calculated in kilograms</t>
  </si>
  <si>
    <t>This spreadsheet contains marcos - you must enable macros to use.</t>
  </si>
  <si>
    <t xml:space="preserve">Please advise the NZDAA (email: nzdaa@nzdaa.com) should there be any additional BMs </t>
  </si>
  <si>
    <t>required</t>
  </si>
  <si>
    <t>LM</t>
  </si>
  <si>
    <t>Guttering Asbestos 120mm x 85mm</t>
  </si>
  <si>
    <t>Benchtops Granite 20mm</t>
  </si>
  <si>
    <t>Benchtops Marble 20mm</t>
  </si>
  <si>
    <t>Benchtops engineered stone 20mm</t>
  </si>
  <si>
    <t>Benchtops engineered stone 30mm</t>
  </si>
  <si>
    <t>Benchtops composite Quartz 20mm</t>
  </si>
  <si>
    <t>Decking steel flooring without concrete pour</t>
  </si>
  <si>
    <t>Decking timber 90mm x 19mm</t>
  </si>
  <si>
    <t>Decking timber 140mm x 19mm</t>
  </si>
  <si>
    <t>Decking treated Pine 90mm x 22mm</t>
  </si>
  <si>
    <t>Decking treated Pine 70mm x 22mm</t>
  </si>
  <si>
    <t>Decking modular timber look 137mm x 23mm</t>
  </si>
  <si>
    <t>Plumbing - toilet ceramic old style</t>
  </si>
  <si>
    <t>each</t>
  </si>
  <si>
    <t xml:space="preserve">Plumbing - toilet ceramic new style </t>
  </si>
  <si>
    <t xml:space="preserve">Guttering copper 133mm </t>
  </si>
  <si>
    <t>Roofing - Dimondek Steel 0.75mm</t>
  </si>
  <si>
    <t>Roofing - Dimondek Steel 0.55mm</t>
  </si>
  <si>
    <t>Roofing - Dimondek Aluminium 0.9mm</t>
  </si>
  <si>
    <t>Roofing - Dimondek Copper 0.55mm</t>
  </si>
  <si>
    <t>Guttering PVC Classic 120mm x 85mm</t>
  </si>
  <si>
    <t xml:space="preserve">Guttering aluminium </t>
  </si>
  <si>
    <t>Plumbing - hot water cylinder 135l</t>
  </si>
  <si>
    <t>Plumbing - hot water cyliner 15l</t>
  </si>
  <si>
    <t>Plumbing - hot water cylinder 180l</t>
  </si>
  <si>
    <t>Plumbing - bathtub 1655 x 740 x 405mm acrylic</t>
  </si>
  <si>
    <t>Plumbing - bathtub 1525 x 740 x 405mm acrylic</t>
  </si>
  <si>
    <t>Plumbing - bathtub 1700mm freestanding ceramic</t>
  </si>
  <si>
    <t>Plumbing - Wall basin china wall mounted with pedestal including taps</t>
  </si>
  <si>
    <t>Plumbing - Wall basin china wall mounthed without pedestal including taps</t>
  </si>
  <si>
    <t>Plumbing - bathtub 1700mm enamelled steel</t>
  </si>
  <si>
    <t>Office partitions - toughened glass 10mm</t>
  </si>
  <si>
    <t>Office partitions - toughened glass 12mm</t>
  </si>
  <si>
    <t>Doors - internal feature MDF</t>
  </si>
  <si>
    <t>Doors - internal MDF solidcore</t>
  </si>
  <si>
    <t xml:space="preserve">Doors - internal flush MDF </t>
  </si>
  <si>
    <t>Doors - internal solid wood</t>
  </si>
  <si>
    <t xml:space="preserve">Doors - external entrance solid </t>
  </si>
  <si>
    <t xml:space="preserve">Doors - external with glass </t>
  </si>
  <si>
    <t>Decking timber Kwila 140mm x 19mm</t>
  </si>
  <si>
    <t>Decking timber Kwila 90mm x 19mm</t>
  </si>
  <si>
    <t>Office partitions - 75mm with steel frame and gib</t>
  </si>
  <si>
    <t>Office partitions - 75mm with steel frame, gib and glazing</t>
  </si>
  <si>
    <t>Office partitions - 100mm with steel frame and gib</t>
  </si>
  <si>
    <t>Office partitions - 100mm with steel frame, gib and glazing</t>
  </si>
  <si>
    <t>Office partitions - 85mm aluminium operable wall</t>
  </si>
  <si>
    <t>Acoustic PET felt panels</t>
  </si>
  <si>
    <t>Metals - Aluminium</t>
  </si>
  <si>
    <t>Metals - Brass</t>
  </si>
  <si>
    <t>Metals - Carbon steel</t>
  </si>
  <si>
    <t>Metals - Cast Iron</t>
  </si>
  <si>
    <t>Metals - Copper</t>
  </si>
  <si>
    <t>Metals - Lead</t>
  </si>
  <si>
    <t>Metals - Mild Steel</t>
  </si>
  <si>
    <t>Metals - Pure Iron</t>
  </si>
  <si>
    <t>Metals - Stainless steel</t>
  </si>
  <si>
    <t>Metals - Tin</t>
  </si>
  <si>
    <t>Metals - Titanium</t>
  </si>
  <si>
    <t>Metals - Tungsten</t>
  </si>
  <si>
    <t>Metals - Wrought iron</t>
  </si>
  <si>
    <t>Metals - Zinc</t>
  </si>
  <si>
    <t>Metals - C1020 HR Steel</t>
  </si>
  <si>
    <t>Retaining wall - Keystone Sedona Stone Tri Face</t>
  </si>
  <si>
    <t>Retaining wall - Firth Ezi wall</t>
  </si>
  <si>
    <t xml:space="preserve">Retaining wall - Keystone Compac II </t>
  </si>
  <si>
    <t>Retaining wall - Rocklok</t>
  </si>
  <si>
    <t>Pavers - Firth Walkway 50</t>
  </si>
  <si>
    <t>Pavers - Firth Chancery 50 residential</t>
  </si>
  <si>
    <t xml:space="preserve">Pavers - Firth Forum 50 residential </t>
  </si>
  <si>
    <t>Pavers - Firth Holland Flowpave</t>
  </si>
  <si>
    <t>Pavers - Firth Holland PorousPave</t>
  </si>
  <si>
    <t>Pavers - Firth Grass Paver</t>
  </si>
  <si>
    <t>Pavers - Firth Gobi Block</t>
  </si>
  <si>
    <t>Pavers - Firth Forum Flagstone 80</t>
  </si>
  <si>
    <t>Pavers - Firth Piazza 80</t>
  </si>
  <si>
    <t>Pavers - Firth Holland 80 Set</t>
  </si>
  <si>
    <t>Pavers - Firth Manhattan</t>
  </si>
  <si>
    <t>Concrete block hollow double 390 x 190 x 190mm ex. Grout</t>
  </si>
  <si>
    <t>Concrete block hollow double 390 x 190 x 90mm ex. Grout</t>
  </si>
  <si>
    <t>Concrete block hollow double 390 x 190 x 140mm ex. Grout</t>
  </si>
  <si>
    <t xml:space="preserve">Asbestos Super Six Roof Curved Sheets </t>
  </si>
  <si>
    <t xml:space="preserve">Asbestos Super Six Plain Angle ridging </t>
  </si>
  <si>
    <t>Asbestos Super Six Plain Rolling ridging</t>
  </si>
  <si>
    <t>Asbestos Super Six 2 piece fluted ridging</t>
  </si>
  <si>
    <t>Asbestos Super Six 2 piece fluted sawtooth ridging</t>
  </si>
  <si>
    <t>Asbestos Super Six 2 piece fluted sawtooth with ventilated plain wing</t>
  </si>
  <si>
    <t>Asbestos Fibrolite side apron flashing</t>
  </si>
  <si>
    <t>Asbestos Fibrolite scribed birdproofing</t>
  </si>
  <si>
    <t>Asbestos Fibrolite fluted gutter flashing</t>
  </si>
  <si>
    <t>Asbestos Fibrolite end apron flashing</t>
  </si>
  <si>
    <t>Asbestos Fibrolite vertical corner moulding</t>
  </si>
  <si>
    <t>Asbestos Box Guttering 600mm</t>
  </si>
  <si>
    <t>Asbestos Box Guttering 450mm</t>
  </si>
  <si>
    <t>Asbestos Fibrolite roof mouldings (end caps etc)</t>
  </si>
  <si>
    <t>Asbestos Box Guttering 380mm</t>
  </si>
  <si>
    <t>Asbestos Box Guttering 300mm</t>
  </si>
  <si>
    <t>Asbestos Box Gutter Loose Sump</t>
  </si>
  <si>
    <t>Asbestos eaves gutter residential</t>
  </si>
  <si>
    <t>Skirting- Pine rounded edging 30mm</t>
  </si>
  <si>
    <t>Skirting - Pine rounded edging 40mm</t>
  </si>
  <si>
    <t>Skirting - Pine rounded edging 50mm</t>
  </si>
  <si>
    <t>Timber - Radiata Pine 50x25mm</t>
  </si>
  <si>
    <t>Timber - Radiata Pine 75x24mm</t>
  </si>
  <si>
    <t>Timber - Radiata Pine 100x25mm</t>
  </si>
  <si>
    <t>Timber - Radiata Pine 150x25mm</t>
  </si>
  <si>
    <t>Timber - Radiata Pine 200x25mm</t>
  </si>
  <si>
    <t>Timber - Radiata Pine 250x25mm</t>
  </si>
  <si>
    <t>Timber - Radiata Pine 300x25mm</t>
  </si>
  <si>
    <t>Timber - Radiata Pine 50x50mm</t>
  </si>
  <si>
    <t>Timber - Radiata Pine 75x50mm</t>
  </si>
  <si>
    <t>Timber - Radiata Pine 100x50mm</t>
  </si>
  <si>
    <t>Timber - Radiata Pine 150x50mm</t>
  </si>
  <si>
    <t>Timber - Radiata Pine 200x50mm</t>
  </si>
  <si>
    <t>Timber - Radiata Pine 250x50mm</t>
  </si>
  <si>
    <t>Timber - Radiata Pine 300x50mm</t>
  </si>
  <si>
    <t>Timber - Radiata Pine 50x40mm</t>
  </si>
  <si>
    <t>Timber - Radiata Pine 75x40mm</t>
  </si>
  <si>
    <t>Timber - Radiata Pine 100x40mm</t>
  </si>
  <si>
    <t>Timber - Radiata Pine 150x40mm</t>
  </si>
  <si>
    <t>Timber - Radiata Pine 200x40mm</t>
  </si>
  <si>
    <t>Timber - Radiata Pine 250x40mm</t>
  </si>
  <si>
    <t>Timber - Radiata Pine 300x40mm</t>
  </si>
  <si>
    <t>Timber - Douglas Fir 50x25mm</t>
  </si>
  <si>
    <t>Timber - Douglas Fir 100x25mm</t>
  </si>
  <si>
    <t>Timber - Douglas Fir 150x25mm</t>
  </si>
  <si>
    <t>Timber - Douglas Fir 200x25mm</t>
  </si>
  <si>
    <t>Timber - Douglas Fir 250x25mm</t>
  </si>
  <si>
    <t>Timber - Douglas Fir300x25mm</t>
  </si>
  <si>
    <t>Timber - Douglas Fir 50x50mm</t>
  </si>
  <si>
    <t>Timber - Douglas Fir 75x50mm</t>
  </si>
  <si>
    <t>Timber - Douglas Fir 100x50mm</t>
  </si>
  <si>
    <t>Timber - Douglas Fir 150x50mm</t>
  </si>
  <si>
    <t>Timber - Douglas Fir 200x50mm</t>
  </si>
  <si>
    <t>Timber - Douglas Fir 250x50mm</t>
  </si>
  <si>
    <t>Timber - Douglas Fir 300x50mm</t>
  </si>
  <si>
    <t>Timber - Douglas Fir 50x40mm</t>
  </si>
  <si>
    <t>Timber - Douglas Fir 75x40mm</t>
  </si>
  <si>
    <t>Timber - Douglas Fir 100x40mm</t>
  </si>
  <si>
    <t>Timber - Douglas Fir 150x40mm</t>
  </si>
  <si>
    <t>Timber - Douglas Fir 200x40mm</t>
  </si>
  <si>
    <t>Timber - Douglas Fir 250x40mm</t>
  </si>
  <si>
    <t>Timber - Douglas Fir 300x40mm</t>
  </si>
  <si>
    <t>Timber - Kauri 50x25mm</t>
  </si>
  <si>
    <t>Timber - Kauri 75x24mm</t>
  </si>
  <si>
    <t>Timber - Kauri 100x25mm</t>
  </si>
  <si>
    <t>Timber - Kauri150x25mm</t>
  </si>
  <si>
    <t>Timber - Kauri 200x25mm</t>
  </si>
  <si>
    <t>Timber - Kauri 250x25mm</t>
  </si>
  <si>
    <t>Timber - Kauri 300x25mm</t>
  </si>
  <si>
    <t>Timber - Kauri 50x50mm</t>
  </si>
  <si>
    <t>Timber - Kauri 75x50mm</t>
  </si>
  <si>
    <t>Timber - Kauri 100x50mm</t>
  </si>
  <si>
    <t>Timber - Kauri 150x50mm</t>
  </si>
  <si>
    <t>Timber - Kauri 200x50mm</t>
  </si>
  <si>
    <t>Timber - Kauri 250x50mm</t>
  </si>
  <si>
    <t>Timber - Kauri 300x50mm</t>
  </si>
  <si>
    <t>Timber - Kauri 50x40mm</t>
  </si>
  <si>
    <t>Timber - Kauri 75x40mm</t>
  </si>
  <si>
    <t>Timber - Kauri 100x40mm</t>
  </si>
  <si>
    <t>Timber - Kauri 150x40mm</t>
  </si>
  <si>
    <t>Timber - Kauri 200x40mm</t>
  </si>
  <si>
    <t>Timber - Kauri 250x40mm</t>
  </si>
  <si>
    <t>Timber - Kauri 300x40mm</t>
  </si>
  <si>
    <t>Timber - Douglas Fir 75x25mm</t>
  </si>
  <si>
    <t>Timber - Rimu 50x25mm</t>
  </si>
  <si>
    <t>Timber - Rimu 75x24mm</t>
  </si>
  <si>
    <t>Timber - Rimu 100x25mm</t>
  </si>
  <si>
    <t>Timber - Rimu 150x25mm</t>
  </si>
  <si>
    <t>Timber - Rimu 200x25mm</t>
  </si>
  <si>
    <t>Timber - Rimu 250x25mm</t>
  </si>
  <si>
    <t>Timber - Rimu 300x25mm</t>
  </si>
  <si>
    <t>Timber - Rimu 50x50mm</t>
  </si>
  <si>
    <t>Timber - Rimu 75x50mm</t>
  </si>
  <si>
    <t>Timber - Rimu 100x50mm</t>
  </si>
  <si>
    <t>Timber - Rimu 150x50mm</t>
  </si>
  <si>
    <t>Timber - Rimu 200x50mm</t>
  </si>
  <si>
    <t>Timber - Rimu 250x50mm</t>
  </si>
  <si>
    <t>Timber - Rimu 300x50mm</t>
  </si>
  <si>
    <t>Timber - Rimu 50x40mm</t>
  </si>
  <si>
    <t>Timber - Rimu 75x40mm</t>
  </si>
  <si>
    <t>Timber - Rimu 100x40mm</t>
  </si>
  <si>
    <t>Timber - Rimu 150x40mm</t>
  </si>
  <si>
    <t>Timber - Rimu 200x40mm</t>
  </si>
  <si>
    <t>Timber - Rimu 250x40mm</t>
  </si>
  <si>
    <t>Timber - Rimu 300x40mm</t>
  </si>
  <si>
    <t>Timber - Oregon 50x25mm</t>
  </si>
  <si>
    <t>Timber - Oregon 75x24mm</t>
  </si>
  <si>
    <t>Timber - Oregon 100x25mm</t>
  </si>
  <si>
    <t>Timber - Oregon 150x25mm</t>
  </si>
  <si>
    <t>Timber - Oregon 200x25mm</t>
  </si>
  <si>
    <t>Timber - Oregon 250x25mm</t>
  </si>
  <si>
    <t>Timber - Oregon 300x25mm</t>
  </si>
  <si>
    <t>Timber - Oregon 50x50mm</t>
  </si>
  <si>
    <t>Timber - Oregon 75x50mm</t>
  </si>
  <si>
    <t>Timber -  100x50mm</t>
  </si>
  <si>
    <t>Timber - Oregon 150x50mm</t>
  </si>
  <si>
    <t>Timber - Oregon 200x50mm</t>
  </si>
  <si>
    <t>Timber - Oregon 250x50mm</t>
  </si>
  <si>
    <t>Timber - Oregon 300x50mm</t>
  </si>
  <si>
    <t>Timber - Oregon 50x40mm</t>
  </si>
  <si>
    <t>Timber - Oregon 75x40mm</t>
  </si>
  <si>
    <t>Timber - Oregon 100x40mm</t>
  </si>
  <si>
    <t>Timber - Oregon 150x40mm</t>
  </si>
  <si>
    <t>Timber - Oregon 200x40mm</t>
  </si>
  <si>
    <t>Timber - Oregon 250x40mm</t>
  </si>
  <si>
    <t>Timber - Oregon 300x40mm</t>
  </si>
  <si>
    <t>Bricks - 70mm</t>
  </si>
  <si>
    <t>Bricks - 62mm</t>
  </si>
  <si>
    <t>Brick wall 100mm thick not rendered</t>
  </si>
  <si>
    <t>Brick wall 200mm thick not rendered</t>
  </si>
  <si>
    <t>Brick wall 240mm thick not rendered</t>
  </si>
  <si>
    <t>Bricks - 76mm</t>
  </si>
  <si>
    <t>Steps concrete width 1m, rise 18cm, tread 28cm 2 step count no platform</t>
  </si>
  <si>
    <t>Steps concrete width 1m, rise 18cm, tread 28cm 3 step count no platform</t>
  </si>
  <si>
    <t>Steps concrete width 1m, rise 18cm, tread 28cm 4 step count no platform</t>
  </si>
  <si>
    <t>Steps concrete width 1.5m, rise 18cm, tread 28cm 2 step count no platform</t>
  </si>
  <si>
    <t>Steps concrete width 1.5m, rise 18cm, tread 28cm 4 step count no platform</t>
  </si>
  <si>
    <t>Steps concrete width 1.5m, rise 18cm, tread 28cm 3 step count no platform</t>
  </si>
  <si>
    <t>Plumbing - bathtub 1700 clawfoot cast iron</t>
  </si>
  <si>
    <t>Plumbing - PVC pressure Class 6 size 40</t>
  </si>
  <si>
    <t>Plumbing - PVC pressure Class 6 size 50</t>
  </si>
  <si>
    <t>Plumbing - PVC pressure Class 6 size 65</t>
  </si>
  <si>
    <t>Plumbing - PVC pressure Class 6 size 80</t>
  </si>
  <si>
    <t>Plumbing - PVC pressure Class 6 size 100</t>
  </si>
  <si>
    <t>Plumbing - PVC pressure Class 6 size 125</t>
  </si>
  <si>
    <t>Plumbing - PVC pressure Class 6 size 150</t>
  </si>
  <si>
    <t>Plumbing - PVC pressure Class 6 size 200</t>
  </si>
  <si>
    <t>Plumbing - PVC pressure Class 15 size 40</t>
  </si>
  <si>
    <t>Plumbing - PVC pressure Class 15 size 50</t>
  </si>
  <si>
    <t>Plumbing - PVC pressure Class 15 size 65</t>
  </si>
  <si>
    <t>Plumbing - PVC pressure Class 15 size 80</t>
  </si>
  <si>
    <t>Plumbing - PVC pressure Class 15 size 100</t>
  </si>
  <si>
    <t>Plumbing - PVC pressure Class 15 size 125</t>
  </si>
  <si>
    <t>Plumbing - PVC pressure Class 15 size 25</t>
  </si>
  <si>
    <t>Plumbing - PVC pressure Class 15 size 32</t>
  </si>
  <si>
    <t>Plumbing - PVC pressure Class 15 size 15</t>
  </si>
  <si>
    <t>Plumbing - PVC pressure Class 15 size 20</t>
  </si>
  <si>
    <t>Plumbing - Galvanised pipe 13.5 x 2.3</t>
  </si>
  <si>
    <t>Plumbing - Galvanised pipe 17.2x2.3</t>
  </si>
  <si>
    <t>Plumbing - Galvanised pipe 26.9x2.6</t>
  </si>
  <si>
    <t>Plumbing - Galvanised pipe 21.3x2.6</t>
  </si>
  <si>
    <t>Plumbing - Galvanised pipe 33.7x3.2</t>
  </si>
  <si>
    <t>Plumbing - Galvanised pipe 42.4x3.2</t>
  </si>
  <si>
    <t>Plumbing - Galvanised pipe 48.3x3.2</t>
  </si>
  <si>
    <t>Plumbing - Galvanised pipe 60.3x3.6</t>
  </si>
  <si>
    <t>Plumbing - Galvanised pipe 76.1x3.6</t>
  </si>
  <si>
    <t>Plumbing - Galvanised pipe 88.9x4.0</t>
  </si>
  <si>
    <t>Plumbing - Copper 15x0.9</t>
  </si>
  <si>
    <t>Plumbing - Copper 18x1.0</t>
  </si>
  <si>
    <t>Plumbing - Copper 20x1.0</t>
  </si>
  <si>
    <t>Plumbing - Copper 25x1.2</t>
  </si>
  <si>
    <t>Plumbing - Copper 32x1.2</t>
  </si>
  <si>
    <t>Plumbing - Copper 40x1.2</t>
  </si>
  <si>
    <t>Plumbing - Copper 45x1.2</t>
  </si>
  <si>
    <t>Plumbing - Copper 50x1.2</t>
  </si>
  <si>
    <t>Plumbing - Copper 65x1.2</t>
  </si>
  <si>
    <t>Plumbing - Copper 80x1.6</t>
  </si>
  <si>
    <t>Problematic</t>
  </si>
  <si>
    <t>*</t>
  </si>
  <si>
    <t>Do or may contain substances, materials or minerals that are hazardous to human health</t>
  </si>
  <si>
    <t>May be coated in a substance that is hazardous to human health</t>
  </si>
  <si>
    <t>Do or may contain substances, materials or minerals that can have an adverse affect to the environment</t>
  </si>
  <si>
    <t>Are materials that can potentially complicate the demolition process of recycling, repurposing or reuse if not removed beforehand</t>
  </si>
  <si>
    <t>While not eco-toxic, there may be no technologies available in New Zealand to effectively recycle, repurpose.</t>
  </si>
  <si>
    <t xml:space="preserve">It is advised that appropriate protection / mitigation measures be taken by the PCBU (Person Conducting a Business or Undertaking) to ensure </t>
  </si>
  <si>
    <t>safety and environmental responsibility.</t>
  </si>
  <si>
    <t>Materials identified as problematic:</t>
  </si>
  <si>
    <t>* select your building material from the drop down box and enter your measurements per the measurement guide (m3/m2/LM)</t>
  </si>
  <si>
    <t>Asbestos - Galbestos sheeting</t>
  </si>
  <si>
    <t>Asbestos Decromastic roofing sheets</t>
  </si>
  <si>
    <t>Flooring - Carpet (including underlay)</t>
  </si>
  <si>
    <t>Insulation Chatterblock Acoustic 60mm</t>
  </si>
  <si>
    <t>Insulation Chatterblock Acoustic 90mm</t>
  </si>
  <si>
    <t>Insulation Chatterblock Acoustic 140mm</t>
  </si>
  <si>
    <t>Insulation Greenstuff thermal ceiling R1.8 100mm</t>
  </si>
  <si>
    <t>Insulation Greenstuff Skillion Roof Blanket 115mm</t>
  </si>
  <si>
    <t>Insulation Greenstuff Skillion Roof Blanket 165mm</t>
  </si>
  <si>
    <t>Insulation Greenstuff thermal 100mm</t>
  </si>
  <si>
    <t>Insulation Greenstuff thermal 45mm</t>
  </si>
  <si>
    <t>Insulation Greenstuff thermal 150mm</t>
  </si>
  <si>
    <t>Insulation Greenstuff thermal 140mm</t>
  </si>
  <si>
    <t>Insulation Greenstuff thermal 185mm</t>
  </si>
  <si>
    <t>Emssions</t>
  </si>
  <si>
    <t xml:space="preserve">This spreadsheet does not constitute legal or environmental advice and users should take </t>
  </si>
  <si>
    <t>specific advice from qualified professionals before taking any action based on information</t>
  </si>
  <si>
    <t>from this spreadsheet.</t>
  </si>
  <si>
    <t>Waste (known composition)</t>
  </si>
  <si>
    <t>Unit</t>
  </si>
  <si>
    <t>Waste - Paper</t>
  </si>
  <si>
    <t>Waste - Wood (combined)</t>
  </si>
  <si>
    <t>General waste</t>
  </si>
  <si>
    <t>Office waste</t>
  </si>
  <si>
    <t>Waste - Textile</t>
  </si>
  <si>
    <t>Waste - Nappies</t>
  </si>
  <si>
    <t>Waste - Sludge</t>
  </si>
  <si>
    <t>Waste - Food</t>
  </si>
  <si>
    <t>Waste - Garden</t>
  </si>
  <si>
    <t>kg</t>
  </si>
  <si>
    <t>Ministry for the Environment Measuring Emissions Guidance 2023</t>
  </si>
  <si>
    <t>Emissions Factor Workbook Using Data and Methods from the 2021 Calendar Year</t>
  </si>
  <si>
    <t>Waste emission factors</t>
  </si>
  <si>
    <t>Additional Information</t>
  </si>
  <si>
    <t>Total Calculated Emissions for waste</t>
  </si>
  <si>
    <t> </t>
  </si>
  <si>
    <t>kg CO₂-e</t>
  </si>
  <si>
    <t>CO₂ (kg CO₂-e)</t>
  </si>
  <si>
    <t>CH₄ (kg CO₂-e)</t>
  </si>
  <si>
    <t>N₂O (kg CO₂-e)</t>
  </si>
  <si>
    <t>Waste to landfill with gas recovery emission factors</t>
  </si>
  <si>
    <t>Emission source</t>
  </si>
  <si>
    <t>Your Input</t>
  </si>
  <si>
    <t>Assumption</t>
  </si>
  <si>
    <t>Uncertainty</t>
  </si>
  <si>
    <t>±40%</t>
  </si>
  <si>
    <t>Wood (treated)</t>
  </si>
  <si>
    <t>Wood (untreated)</t>
  </si>
  <si>
    <t>Waste - Other (Inert)</t>
  </si>
  <si>
    <t>Waste (unknown composition)</t>
  </si>
  <si>
    <t>Not quantified</t>
  </si>
  <si>
    <t>Total</t>
  </si>
  <si>
    <t>Waste to landfill without gas recovery emission factors</t>
  </si>
  <si>
    <t>Biological Treatment of waste</t>
  </si>
  <si>
    <t>Biological treatment of waste</t>
  </si>
  <si>
    <t>Composting</t>
  </si>
  <si>
    <t>Uncertainties taken from New Zealand’s National GHG Inventory 1990-2021</t>
  </si>
  <si>
    <t>±100%</t>
  </si>
  <si>
    <t>Anaerobic digestion</t>
  </si>
  <si>
    <t>Kg</t>
  </si>
  <si>
    <t>IPCC default emission factors used</t>
  </si>
  <si>
    <t>IPCC uncertainties</t>
  </si>
  <si>
    <t>Non municipal waste</t>
  </si>
  <si>
    <t>Biological (sludge)</t>
  </si>
  <si>
    <t>Construction &amp; Demolition</t>
  </si>
  <si>
    <t>Bulk Waste</t>
  </si>
  <si>
    <t>Food</t>
  </si>
  <si>
    <t>Garden</t>
  </si>
  <si>
    <t>Industrial</t>
  </si>
  <si>
    <t>Wood</t>
  </si>
  <si>
    <t>Inert (all other waste)</t>
  </si>
  <si>
    <t>Average for non-municipal solid waste</t>
  </si>
  <si>
    <r>
      <rPr>
        <sz val="11"/>
        <color rgb="FF000000"/>
        <rFont val="Calibri"/>
        <family val="2"/>
      </rPr>
      <t>These factors cover emissions from waste-to-landfill and the biological treatment of waste.
A landfill gas recovery system collects methane gas from the landfill and destroys it by flaring or combustion.
All emissions are expressed as kg of carbon dioxide equivalent (kg CO</t>
    </r>
    <r>
      <rPr>
        <vertAlign val="subscript"/>
        <sz val="11"/>
        <color rgb="FF000000"/>
        <rFont val="Calibri"/>
        <family val="2"/>
      </rPr>
      <t>2</t>
    </r>
    <r>
      <rPr>
        <sz val="11"/>
        <color rgb="FF000000"/>
        <rFont val="Calibri"/>
        <family val="2"/>
      </rPr>
      <t xml:space="preserve">-e) per unit.
</t>
    </r>
  </si>
  <si>
    <r>
      <t>N</t>
    </r>
    <r>
      <rPr>
        <vertAlign val="subscript"/>
        <sz val="11"/>
        <color rgb="FF000000"/>
        <rFont val="Calibri"/>
        <family val="2"/>
      </rPr>
      <t>2</t>
    </r>
    <r>
      <rPr>
        <sz val="11"/>
        <color rgb="FF000000"/>
        <rFont val="Calibri"/>
        <family val="2"/>
      </rPr>
      <t>O and CO</t>
    </r>
    <r>
      <rPr>
        <vertAlign val="subscript"/>
        <sz val="11"/>
        <color rgb="FF000000"/>
        <rFont val="Calibri"/>
        <family val="2"/>
      </rPr>
      <t>2</t>
    </r>
    <r>
      <rPr>
        <sz val="11"/>
        <color rgb="FF000000"/>
        <rFont val="Calibri"/>
        <family val="2"/>
      </rPr>
      <t xml:space="preserve"> are excluded</t>
    </r>
  </si>
  <si>
    <t>Ministry for the Environment Measuring Emissions Guidance 2023 - Interactive Workbook</t>
  </si>
  <si>
    <t>Introduction to emission factors and how to use the worksheets</t>
  </si>
  <si>
    <t>How to use the worksheets</t>
  </si>
  <si>
    <t>Complete the worksheets by inputting information that is relevant to your organisation. The colomns labelled "Your Input" is where you are required to put your data, in the units specified in column "unit" in order for the calculations to work properly.</t>
  </si>
  <si>
    <t>Key</t>
  </si>
  <si>
    <t>Cells requiring data to be input in the units specified</t>
  </si>
  <si>
    <t>Cells containing a formula</t>
  </si>
  <si>
    <t>Global Warming Potentials</t>
  </si>
  <si>
    <t>Greenhouse Gas</t>
  </si>
  <si>
    <t>Key changes from previous publication</t>
  </si>
  <si>
    <t>Updated Emissions Factors published in this version for the following:</t>
  </si>
  <si>
    <t>Converted emission factors from AR4 GWP100 to AR5 GWP100</t>
  </si>
  <si>
    <t>Purchased Energy, heat and steam - addition of emission factor for 2022 calendar year</t>
  </si>
  <si>
    <t>Transmission &amp; Distribution Losses - addition of emission factor for 2022 calendar year</t>
  </si>
  <si>
    <t>Travel - updated Taxi emission factors to reflect the change in fleet</t>
  </si>
  <si>
    <t>Inclusion of guidance on spend-based emission factors.</t>
  </si>
  <si>
    <r>
      <t xml:space="preserve">Reporting requirements of </t>
    </r>
    <r>
      <rPr>
        <b/>
        <i/>
        <sz val="12"/>
        <color rgb="FFFFFFFF"/>
        <rFont val="Calibri"/>
        <family val="2"/>
      </rPr>
      <t>ISO 14064-1</t>
    </r>
    <r>
      <rPr>
        <b/>
        <sz val="12"/>
        <color rgb="FFFFFFFF"/>
        <rFont val="Calibri"/>
        <family val="2"/>
      </rPr>
      <t xml:space="preserve"> and </t>
    </r>
    <r>
      <rPr>
        <b/>
        <i/>
        <sz val="12"/>
        <color rgb="FFFFFFFF"/>
        <rFont val="Calibri"/>
        <family val="2"/>
      </rPr>
      <t xml:space="preserve">The GHG Protocol </t>
    </r>
  </si>
  <si>
    <r>
      <t xml:space="preserve">In line with the reporting requirements of </t>
    </r>
    <r>
      <rPr>
        <i/>
        <sz val="12"/>
        <color rgb="FF000000"/>
        <rFont val="Calibri"/>
        <family val="2"/>
      </rPr>
      <t>ISO 14064-1, ISAE (NZ) 3410,</t>
    </r>
    <r>
      <rPr>
        <sz val="12"/>
        <color rgb="FF000000"/>
        <rFont val="Calibri"/>
        <family val="2"/>
      </rPr>
      <t xml:space="preserve"> and t</t>
    </r>
    <r>
      <rPr>
        <i/>
        <sz val="12"/>
        <color rgb="FF000000"/>
        <rFont val="Calibri"/>
        <family val="2"/>
      </rPr>
      <t>he GHG Protocol</t>
    </r>
    <r>
      <rPr>
        <sz val="12"/>
        <color rgb="FF000000"/>
        <rFont val="Calibri"/>
        <family val="2"/>
      </rPr>
      <t>, emission factors are provided to allow separate calculation of carbon dioxide (CO</t>
    </r>
    <r>
      <rPr>
        <vertAlign val="subscript"/>
        <sz val="12"/>
        <color rgb="FF000000"/>
        <rFont val="Calibri"/>
        <family val="2"/>
      </rPr>
      <t>2</t>
    </r>
    <r>
      <rPr>
        <sz val="12"/>
        <color rgb="FF000000"/>
        <rFont val="Calibri"/>
        <family val="2"/>
      </rPr>
      <t>), methane (CH</t>
    </r>
    <r>
      <rPr>
        <vertAlign val="subscript"/>
        <sz val="12"/>
        <color rgb="FF000000"/>
        <rFont val="Calibri"/>
        <family val="2"/>
      </rPr>
      <t>4</t>
    </r>
    <r>
      <rPr>
        <sz val="12"/>
        <color rgb="FF000000"/>
        <rFont val="Calibri"/>
        <family val="2"/>
      </rPr>
      <t>) and nitrous oxide (N</t>
    </r>
    <r>
      <rPr>
        <vertAlign val="subscript"/>
        <sz val="12"/>
        <color rgb="FF000000"/>
        <rFont val="Calibri"/>
        <family val="2"/>
      </rPr>
      <t>2</t>
    </r>
    <r>
      <rPr>
        <sz val="12"/>
        <color rgb="FF000000"/>
        <rFont val="Calibri"/>
        <family val="2"/>
      </rPr>
      <t>O), as well as the total CO</t>
    </r>
    <r>
      <rPr>
        <vertAlign val="subscript"/>
        <sz val="12"/>
        <color rgb="FF000000"/>
        <rFont val="Calibri"/>
        <family val="2"/>
      </rPr>
      <t>2</t>
    </r>
    <r>
      <rPr>
        <sz val="12"/>
        <color rgb="FF000000"/>
        <rFont val="Calibri"/>
        <family val="2"/>
      </rPr>
      <t xml:space="preserve"> equivalent.</t>
    </r>
  </si>
  <si>
    <r>
      <t>All emission factors in the guide are expressed in units of carbon dioxide equivalent (CO</t>
    </r>
    <r>
      <rPr>
        <vertAlign val="subscript"/>
        <sz val="12"/>
        <color rgb="FF000000"/>
        <rFont val="Calibri"/>
        <family val="2"/>
      </rPr>
      <t>2</t>
    </r>
    <r>
      <rPr>
        <sz val="12"/>
        <color rgb="FF000000"/>
        <rFont val="Calibri"/>
        <family val="2"/>
      </rPr>
      <t xml:space="preserve">-e), this is in line with </t>
    </r>
    <r>
      <rPr>
        <i/>
        <sz val="12"/>
        <color rgb="FF000000"/>
        <rFont val="Calibri"/>
        <family val="2"/>
      </rPr>
      <t>The GHG Protocol</t>
    </r>
    <r>
      <rPr>
        <sz val="12"/>
        <color rgb="FF000000"/>
        <rFont val="Calibri"/>
        <family val="2"/>
      </rPr>
      <t>. The Global Warming Potentials (GWPs) used are those from the</t>
    </r>
    <r>
      <rPr>
        <i/>
        <sz val="12"/>
        <color rgb="FF000000"/>
        <rFont val="Calibri"/>
        <family val="2"/>
      </rPr>
      <t xml:space="preserve"> IPCC, 2006, Fourth Assessment Report</t>
    </r>
    <r>
      <rPr>
        <sz val="12"/>
        <color rgb="FF000000"/>
        <rFont val="Calibri"/>
        <family val="2"/>
      </rPr>
      <t xml:space="preserve">. The use of these values are in line with the United Nations Framework Convention on Climate Change (UNFCCC), to which the New Zealand National Inventory Report is submitted. </t>
    </r>
  </si>
  <si>
    <r>
      <t>CO</t>
    </r>
    <r>
      <rPr>
        <vertAlign val="subscript"/>
        <sz val="12"/>
        <color rgb="FF000000"/>
        <rFont val="Calibri"/>
        <family val="2"/>
      </rPr>
      <t>2</t>
    </r>
  </si>
  <si>
    <r>
      <t>CH</t>
    </r>
    <r>
      <rPr>
        <vertAlign val="subscript"/>
        <sz val="12"/>
        <color rgb="FF000000"/>
        <rFont val="Calibri"/>
        <family val="2"/>
      </rPr>
      <t>4</t>
    </r>
  </si>
  <si>
    <r>
      <t>N</t>
    </r>
    <r>
      <rPr>
        <vertAlign val="subscript"/>
        <sz val="12"/>
        <color rgb="FF000000"/>
        <rFont val="Calibri"/>
        <family val="2"/>
      </rPr>
      <t>2</t>
    </r>
    <r>
      <rPr>
        <sz val="12"/>
        <color rgb="FF000000"/>
        <rFont val="Calibri"/>
        <family val="2"/>
      </rPr>
      <t>O</t>
    </r>
  </si>
  <si>
    <r>
      <t>This Workbook is part of a su</t>
    </r>
    <r>
      <rPr>
        <sz val="12"/>
        <color rgb="FF000000"/>
        <rFont val="Calibri"/>
        <family val="2"/>
      </rPr>
      <t>ite of documents that comprise the Measuring Emissions Guidance – 2022, as outlined in figure 1 below.</t>
    </r>
    <r>
      <rPr>
        <b/>
        <sz val="12"/>
        <color rgb="FF000000"/>
        <rFont val="Calibri"/>
        <family val="2"/>
      </rPr>
      <t xml:space="preserve">
Figure 1: Documents in </t>
    </r>
    <r>
      <rPr>
        <b/>
        <i/>
        <sz val="12"/>
        <color rgb="FF000000"/>
        <rFont val="Calibri"/>
        <family val="2"/>
      </rPr>
      <t>Measuring Emissions: A Guide for Organisations</t>
    </r>
  </si>
  <si>
    <r>
      <t xml:space="preserve">Fuel - updated to align with 2023 </t>
    </r>
    <r>
      <rPr>
        <i/>
        <sz val="12"/>
        <color rgb="FF000000"/>
        <rFont val="Calibri"/>
        <family val="2"/>
      </rPr>
      <t>National greenhouse gas inventory</t>
    </r>
  </si>
  <si>
    <r>
      <t xml:space="preserve">Waste and wastewater - new emission factors of waste wood to landfill, updated to align with 2023 </t>
    </r>
    <r>
      <rPr>
        <i/>
        <sz val="12"/>
        <color rgb="FF000000"/>
        <rFont val="Calibri"/>
        <family val="2"/>
      </rPr>
      <t>National greenhouse gas inventory</t>
    </r>
  </si>
  <si>
    <r>
      <t xml:space="preserve">Agriculture, forestry and other land use - updated to align with 2023 </t>
    </r>
    <r>
      <rPr>
        <i/>
        <sz val="12"/>
        <color rgb="FF000000"/>
        <rFont val="Calibri"/>
        <family val="2"/>
      </rPr>
      <t>National greenhouse gas inventory</t>
    </r>
  </si>
  <si>
    <t>Click on Green Cells to enter your data</t>
  </si>
  <si>
    <t>Our measurement</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</si>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</sst>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30" x14ac:knownFonts="1">
    <font>
      <sz val="12"/>
      <color theme="1"/>
      <name val="Aptos Narrow"/>
      <family val="2"/>
      <scheme val="minor"/>
    </font>
    <font>
      <sz val="12"/>
      <color rgb="FFFF0000"/>
      <name val="Aptos Narrow"/>
      <family val="2"/>
      <scheme val="minor"/>
    </font>
    <font>
      <sz val="10"/>
      <color theme="1"/>
      <name val="Calibri"/>
      <family val="2"/>
    </font>
    <font>
      <b/>
      <sz val="12"/>
      <color theme="1"/>
      <name val="Aptos Narrow"/>
      <scheme val="minor"/>
    </font>
    <font>
      <sz val="12"/>
      <color theme="1"/>
      <name val="Aptos Narrow"/>
      <scheme val="minor"/>
    </font>
    <font>
      <sz val="10"/>
      <color rgb="FF000000"/>
      <name val="Calibri"/>
      <family val="2"/>
    </font>
    <font>
      <b/>
      <sz val="12"/>
      <color theme="1"/>
      <name val="Aptos Narrow"/>
      <family val="2"/>
      <scheme val="minor"/>
    </font>
    <font>
      <sz val="26"/>
      <color theme="1"/>
      <name val="Aptos Narrow"/>
      <family val="2"/>
      <scheme val="minor"/>
    </font>
    <font>
      <sz val="12"/>
      <name val="Aptos Narrow"/>
      <family val="2"/>
      <scheme val="minor"/>
    </font>
    <font>
      <sz val="10"/>
      <name val="Calibri"/>
      <family val="2"/>
    </font>
    <font>
      <b/>
      <sz val="14"/>
      <color theme="1"/>
      <name val="Aptos Narrow"/>
      <scheme val="minor"/>
    </font>
    <font>
      <sz val="14"/>
      <color theme="1"/>
      <name val="Aptos Narrow"/>
      <scheme val="minor"/>
    </font>
    <font>
      <b/>
      <sz val="24"/>
      <color rgb="FF1C556C"/>
      <name val="Calibri"/>
      <family val="2"/>
    </font>
    <font>
      <b/>
      <sz val="18"/>
      <color rgb="FF1C556C"/>
      <name val="Calibri"/>
      <family val="2"/>
    </font>
    <font>
      <b/>
      <sz val="11"/>
      <color rgb="FFFFFFFF"/>
      <name val="Calibri"/>
      <family val="2"/>
    </font>
    <font>
      <sz val="11"/>
      <color rgb="FF000000"/>
      <name val="Calibri"/>
      <family val="2"/>
    </font>
    <font>
      <vertAlign val="subscript"/>
      <sz val="11"/>
      <color rgb="FF000000"/>
      <name val="Calibri"/>
      <family val="2"/>
    </font>
    <font>
      <b/>
      <sz val="11"/>
      <color rgb="FF000000"/>
      <name val="Calibri"/>
      <family val="2"/>
    </font>
    <font>
      <b/>
      <sz val="20"/>
      <color rgb="FF1C556C"/>
      <name val="Calibri"/>
      <family val="2"/>
    </font>
    <font>
      <sz val="20"/>
      <color rgb="FF000000"/>
      <name val="Calibri"/>
      <family val="2"/>
    </font>
    <font>
      <sz val="11"/>
      <name val="Calibri"/>
      <family val="2"/>
    </font>
    <font>
      <b/>
      <sz val="12"/>
      <color rgb="FFFFFFFF"/>
      <name val="Calibri"/>
      <family val="2"/>
    </font>
    <font>
      <sz val="12"/>
      <color rgb="FF000000"/>
      <name val="Calibri"/>
      <family val="2"/>
    </font>
    <font>
      <sz val="12"/>
      <color rgb="FFFFFFFF"/>
      <name val="Calibri"/>
      <family val="2"/>
    </font>
    <font>
      <b/>
      <i/>
      <sz val="12"/>
      <color rgb="FFFFFFFF"/>
      <name val="Calibri"/>
      <family val="2"/>
    </font>
    <font>
      <i/>
      <sz val="12"/>
      <color rgb="FF000000"/>
      <name val="Calibri"/>
      <family val="2"/>
    </font>
    <font>
      <vertAlign val="subscript"/>
      <sz val="12"/>
      <color rgb="FF000000"/>
      <name val="Calibri"/>
      <family val="2"/>
    </font>
    <font>
      <sz val="12"/>
      <name val="Calibri"/>
      <family val="2"/>
    </font>
    <font>
      <b/>
      <sz val="12"/>
      <color rgb="FF000000"/>
      <name val="Calibri"/>
      <family val="2"/>
    </font>
    <font>
      <b/>
      <i/>
      <sz val="12"/>
      <color rgb="FF000000"/>
      <name val="Calibri"/>
      <family val="2"/>
    </font>
  </fonts>
  <fills count="14">
    <fill>
      <patternFill patternType="none"/>
    </fill>
    <fill>
      <patternFill patternType="gray125"/>
    </fill>
    <fill>
      <patternFill patternType="solid">
        <fgColor rgb="FFFFFFFF"/>
      </patternFill>
    </fill>
    <fill>
      <patternFill patternType="solid">
        <fgColor rgb="FF1C556C"/>
      </patternFill>
    </fill>
    <fill>
      <patternFill patternType="solid">
        <fgColor rgb="FFEEEEEE"/>
      </patternFill>
    </fill>
    <fill>
      <patternFill patternType="solid">
        <fgColor rgb="FF1C556C"/>
        <bgColor rgb="FF000000"/>
      </patternFill>
    </fill>
    <fill>
      <patternFill patternType="solid">
        <fgColor rgb="FF8EAAB7"/>
      </patternFill>
    </fill>
    <fill>
      <patternFill patternType="solid">
        <fgColor rgb="FFB7C8D0"/>
        <bgColor rgb="FF000000"/>
      </patternFill>
    </fill>
    <fill>
      <patternFill patternType="solid">
        <fgColor rgb="FFD2DDE2"/>
        <bgColor rgb="FF000000"/>
      </patternFill>
    </fill>
    <fill>
      <patternFill patternType="solid">
        <fgColor rgb="FFFFFF00"/>
        <bgColor rgb="FF000000"/>
      </patternFill>
    </fill>
    <fill>
      <patternFill patternType="solid">
        <fgColor rgb="FFD9D9D9"/>
      </patternFill>
    </fill>
    <fill>
      <patternFill patternType="solid">
        <fgColor rgb="FFD2DDE2"/>
        <bgColor indexed="64"/>
      </patternFill>
    </fill>
    <fill>
      <patternFill patternType="solid">
        <fgColor rgb="FF8EAAB7"/>
        <bgColor rgb="FF000000"/>
      </patternFill>
    </fill>
    <fill>
      <patternFill patternType="solid">
        <fgColor rgb="FFFFFBC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1C556C"/>
      </top>
      <bottom/>
      <diagonal/>
    </border>
    <border>
      <left/>
      <right style="thin">
        <color indexed="64"/>
      </right>
      <top/>
      <bottom style="thin">
        <color indexed="64"/>
      </bottom>
      <diagonal/>
    </border>
    <border>
      <left/>
      <right style="thin">
        <color rgb="FF1C556C"/>
      </right>
      <top/>
      <bottom style="thin">
        <color rgb="FF1C556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indexed="64"/>
      </right>
      <top/>
      <bottom/>
      <diagonal/>
    </border>
    <border>
      <left style="thin">
        <color indexed="64"/>
      </left>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right style="thin">
        <color rgb="FF1C556C"/>
      </right>
      <top/>
      <bottom/>
      <diagonal/>
    </border>
    <border>
      <left style="medium">
        <color rgb="FF1C556C"/>
      </left>
      <right/>
      <top style="medium">
        <color rgb="FF1C556C"/>
      </top>
      <bottom style="medium">
        <color rgb="FF1C556C"/>
      </bottom>
      <diagonal/>
    </border>
    <border>
      <left/>
      <right/>
      <top/>
      <bottom style="thin">
        <color rgb="FF1C556C"/>
      </bottom>
      <diagonal/>
    </border>
    <border>
      <left style="thin">
        <color rgb="FF1C556C"/>
      </left>
      <right style="thin">
        <color rgb="FF1C556C"/>
      </right>
      <top/>
      <bottom style="thin">
        <color rgb="FF1C556C"/>
      </bottom>
      <diagonal/>
    </border>
    <border>
      <left/>
      <right style="thin">
        <color rgb="FF1C556C"/>
      </right>
      <top style="thin">
        <color rgb="FF1C556C"/>
      </top>
      <bottom style="thin">
        <color rgb="FF1C556C"/>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1">
    <xf numFmtId="0" fontId="0" fillId="0" borderId="0"/>
  </cellStyleXfs>
  <cellXfs count="96">
    <xf numFmtId="0" fontId="0" fillId="0" borderId="0" xfId="0"/>
    <xf numFmtId="0" fontId="2" fillId="0" borderId="0" xfId="0" applyFont="1"/>
    <xf numFmtId="0" fontId="3" fillId="0" borderId="0" xfId="0" applyFont="1"/>
    <xf numFmtId="0" fontId="5" fillId="0" borderId="0" xfId="0" applyFont="1"/>
    <xf numFmtId="0" fontId="0" fillId="0" borderId="0" xfId="0" applyAlignment="1">
      <alignment wrapText="1" shrinkToFit="1"/>
    </xf>
    <xf numFmtId="0" fontId="0" fillId="0" borderId="0" xfId="0"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xf numFmtId="0" fontId="3" fillId="0" borderId="0" xfId="0" applyFont="1" applyAlignment="1">
      <alignment vertical="top"/>
    </xf>
    <xf numFmtId="0" fontId="0" fillId="0" borderId="0" xfId="0" applyAlignment="1">
      <alignment vertical="top"/>
    </xf>
    <xf numFmtId="0" fontId="7" fillId="0" borderId="0" xfId="0" applyFont="1"/>
    <xf numFmtId="0" fontId="6" fillId="0" borderId="0" xfId="0" applyFont="1"/>
    <xf numFmtId="2" fontId="0" fillId="0" borderId="1" xfId="0" applyNumberFormat="1" applyBorder="1" applyAlignment="1">
      <alignment wrapText="1" shrinkToFit="1"/>
    </xf>
    <xf numFmtId="0" fontId="3" fillId="0" borderId="0" xfId="0" applyFont="1" applyAlignment="1">
      <alignment horizontal="right"/>
    </xf>
    <xf numFmtId="0" fontId="3" fillId="0" borderId="0" xfId="0" applyFont="1" applyAlignment="1">
      <alignment vertical="top" wrapText="1" shrinkToFit="1"/>
    </xf>
    <xf numFmtId="2" fontId="0" fillId="0" borderId="1" xfId="0" applyNumberFormat="1" applyBorder="1"/>
    <xf numFmtId="0" fontId="0" fillId="0" borderId="1" xfId="0" applyBorder="1"/>
    <xf numFmtId="0" fontId="8" fillId="0" borderId="0" xfId="0" applyFont="1"/>
    <xf numFmtId="0" fontId="8" fillId="0" borderId="0" xfId="0" applyFont="1" applyAlignment="1">
      <alignment horizontal="left"/>
    </xf>
    <xf numFmtId="0" fontId="9" fillId="0" borderId="0" xfId="0" applyFont="1"/>
    <xf numFmtId="164" fontId="0" fillId="0" borderId="0" xfId="0" applyNumberFormat="1" applyAlignment="1">
      <alignment horizontal="left"/>
    </xf>
    <xf numFmtId="0" fontId="1" fillId="0" borderId="0" xfId="0" applyFont="1" applyAlignment="1">
      <alignment vertical="top"/>
    </xf>
    <xf numFmtId="164" fontId="4" fillId="0" borderId="0" xfId="0" applyNumberFormat="1" applyFont="1" applyAlignment="1">
      <alignment horizontal="left"/>
    </xf>
    <xf numFmtId="165" fontId="0" fillId="0" borderId="4" xfId="0" applyNumberFormat="1" applyBorder="1" applyAlignment="1">
      <alignment wrapText="1" shrinkToFit="1"/>
    </xf>
    <xf numFmtId="2" fontId="1" fillId="0" borderId="1" xfId="0" applyNumberFormat="1" applyFont="1" applyBorder="1" applyAlignment="1">
      <alignment horizontal="center" wrapText="1" shrinkToFit="1"/>
    </xf>
    <xf numFmtId="0" fontId="10" fillId="0" borderId="0" xfId="0" applyFont="1"/>
    <xf numFmtId="0" fontId="11" fillId="0" borderId="0" xfId="0" applyFont="1"/>
    <xf numFmtId="0" fontId="12" fillId="2" borderId="0" xfId="0" applyFont="1" applyFill="1" applyAlignment="1">
      <alignment vertical="top"/>
    </xf>
    <xf numFmtId="0" fontId="14" fillId="5" borderId="0" xfId="0" applyFont="1" applyFill="1" applyAlignment="1">
      <alignment wrapText="1"/>
    </xf>
    <xf numFmtId="0" fontId="17" fillId="6" borderId="6" xfId="0" applyFont="1" applyFill="1" applyBorder="1" applyAlignment="1">
      <alignment horizontal="right" vertical="top"/>
    </xf>
    <xf numFmtId="2" fontId="15" fillId="7" borderId="8" xfId="0" applyNumberFormat="1" applyFont="1" applyFill="1" applyBorder="1" applyAlignment="1">
      <alignment horizontal="right"/>
    </xf>
    <xf numFmtId="2" fontId="15" fillId="8" borderId="9" xfId="0" applyNumberFormat="1" applyFont="1" applyFill="1" applyBorder="1"/>
    <xf numFmtId="0" fontId="17" fillId="6" borderId="6" xfId="0" applyFont="1" applyFill="1" applyBorder="1" applyAlignment="1">
      <alignment horizontal="left" vertical="top"/>
    </xf>
    <xf numFmtId="0" fontId="17" fillId="6" borderId="11" xfId="0" applyFont="1" applyFill="1" applyBorder="1" applyAlignment="1">
      <alignment horizontal="left" vertical="top"/>
    </xf>
    <xf numFmtId="0" fontId="17" fillId="9" borderId="12" xfId="0" applyFont="1" applyFill="1" applyBorder="1" applyAlignment="1">
      <alignment horizontal="center"/>
    </xf>
    <xf numFmtId="0" fontId="15" fillId="2" borderId="10" xfId="0" applyFont="1" applyFill="1" applyBorder="1" applyAlignment="1">
      <alignment horizontal="left" vertical="top"/>
    </xf>
    <xf numFmtId="0" fontId="15" fillId="2" borderId="11" xfId="0" applyFont="1" applyFill="1" applyBorder="1" applyAlignment="1">
      <alignment horizontal="left" vertical="top"/>
    </xf>
    <xf numFmtId="2" fontId="15" fillId="11" borderId="8" xfId="0" applyNumberFormat="1" applyFont="1" applyFill="1" applyBorder="1" applyAlignment="1">
      <alignment horizontal="right"/>
    </xf>
    <xf numFmtId="0" fontId="15" fillId="2" borderId="6" xfId="0" applyFont="1" applyFill="1" applyBorder="1" applyAlignment="1">
      <alignment horizontal="left" vertical="top"/>
    </xf>
    <xf numFmtId="2" fontId="15" fillId="7" borderId="16" xfId="0" applyNumberFormat="1" applyFont="1" applyFill="1" applyBorder="1" applyAlignment="1">
      <alignment horizontal="right"/>
    </xf>
    <xf numFmtId="2" fontId="15" fillId="11" borderId="16" xfId="0" applyNumberFormat="1" applyFont="1" applyFill="1" applyBorder="1" applyAlignment="1">
      <alignment horizontal="right"/>
    </xf>
    <xf numFmtId="0" fontId="15" fillId="2" borderId="0" xfId="0" applyFont="1" applyFill="1" applyAlignment="1">
      <alignment horizontal="left" vertical="top"/>
    </xf>
    <xf numFmtId="0" fontId="14" fillId="12" borderId="17" xfId="0" applyFont="1" applyFill="1" applyBorder="1" applyAlignment="1">
      <alignment horizontal="right"/>
    </xf>
    <xf numFmtId="2" fontId="15" fillId="7" borderId="6" xfId="0" applyNumberFormat="1" applyFont="1" applyFill="1" applyBorder="1" applyAlignment="1">
      <alignment horizontal="right"/>
    </xf>
    <xf numFmtId="2" fontId="15" fillId="11" borderId="6" xfId="0" applyNumberFormat="1" applyFont="1" applyFill="1" applyBorder="1" applyAlignment="1">
      <alignment horizontal="right"/>
    </xf>
    <xf numFmtId="0" fontId="17" fillId="9" borderId="18" xfId="0" applyFont="1" applyFill="1" applyBorder="1" applyAlignment="1">
      <alignment horizontal="center"/>
    </xf>
    <xf numFmtId="0" fontId="14" fillId="12" borderId="5" xfId="0" applyFont="1" applyFill="1" applyBorder="1" applyAlignment="1">
      <alignment horizontal="right"/>
    </xf>
    <xf numFmtId="0" fontId="12" fillId="0" borderId="0" xfId="0" applyFont="1"/>
    <xf numFmtId="0" fontId="15" fillId="0" borderId="0" xfId="0" applyFont="1"/>
    <xf numFmtId="0" fontId="13" fillId="0" borderId="0" xfId="0" applyFont="1"/>
    <xf numFmtId="0" fontId="18" fillId="0" borderId="0" xfId="0" applyFont="1"/>
    <xf numFmtId="0" fontId="19" fillId="0" borderId="0" xfId="0" applyFont="1"/>
    <xf numFmtId="0" fontId="15" fillId="0" borderId="0" xfId="0" applyFont="1" applyAlignment="1">
      <alignment wrapText="1"/>
    </xf>
    <xf numFmtId="0" fontId="20" fillId="0" borderId="0" xfId="0" applyFont="1" applyAlignment="1">
      <alignment horizontal="left" vertical="top" wrapText="1"/>
    </xf>
    <xf numFmtId="0" fontId="22" fillId="0" borderId="0" xfId="0" applyFont="1"/>
    <xf numFmtId="0" fontId="23" fillId="9" borderId="21" xfId="0" applyFont="1" applyFill="1" applyBorder="1"/>
    <xf numFmtId="0" fontId="22" fillId="8" borderId="22" xfId="0" applyFont="1" applyFill="1" applyBorder="1"/>
    <xf numFmtId="0" fontId="21" fillId="5" borderId="23" xfId="0" applyFont="1" applyFill="1" applyBorder="1"/>
    <xf numFmtId="0" fontId="22" fillId="0" borderId="9" xfId="0" applyFont="1" applyBorder="1"/>
    <xf numFmtId="0" fontId="22" fillId="0" borderId="20" xfId="0" applyFont="1" applyBorder="1"/>
    <xf numFmtId="0" fontId="22" fillId="0" borderId="24" xfId="0" applyFont="1" applyBorder="1"/>
    <xf numFmtId="0" fontId="22" fillId="0" borderId="0" xfId="0" applyFont="1" applyAlignment="1">
      <alignment wrapText="1"/>
    </xf>
    <xf numFmtId="0" fontId="15" fillId="9" borderId="13" xfId="0" applyFont="1" applyFill="1" applyBorder="1" applyProtection="1">
      <protection locked="0"/>
    </xf>
    <xf numFmtId="0" fontId="15" fillId="9" borderId="14" xfId="0" applyFont="1" applyFill="1" applyBorder="1" applyProtection="1">
      <protection locked="0"/>
    </xf>
    <xf numFmtId="0" fontId="15" fillId="9" borderId="15" xfId="0" applyFont="1" applyFill="1" applyBorder="1" applyProtection="1">
      <protection locked="0"/>
    </xf>
    <xf numFmtId="0" fontId="15" fillId="9" borderId="19" xfId="0" applyFont="1" applyFill="1" applyBorder="1" applyProtection="1">
      <protection locked="0"/>
    </xf>
    <xf numFmtId="0" fontId="0" fillId="13" borderId="1" xfId="0" applyFill="1" applyBorder="1" applyAlignment="1" applyProtection="1">
      <alignment vertical="top" wrapText="1" shrinkToFit="1"/>
      <protection locked="0"/>
    </xf>
    <xf numFmtId="2" fontId="0" fillId="13" borderId="1" xfId="0" applyNumberFormat="1" applyFill="1" applyBorder="1" applyAlignment="1" applyProtection="1">
      <alignment wrapText="1" shrinkToFit="1"/>
      <protection locked="0"/>
    </xf>
    <xf numFmtId="2" fontId="0" fillId="13" borderId="1" xfId="0" applyNumberFormat="1" applyFill="1" applyBorder="1" applyAlignment="1" applyProtection="1">
      <alignment horizontal="right" wrapText="1" shrinkToFit="1"/>
      <protection locked="0"/>
    </xf>
    <xf numFmtId="0" fontId="1" fillId="0" borderId="0" xfId="0" applyFont="1" applyAlignment="1">
      <alignment horizontal="left"/>
    </xf>
    <xf numFmtId="0" fontId="0" fillId="13" borderId="3" xfId="0" applyFill="1" applyBorder="1" applyAlignment="1" applyProtection="1">
      <alignment horizontal="left"/>
      <protection locked="0"/>
    </xf>
    <xf numFmtId="0" fontId="0" fillId="13" borderId="2" xfId="0" applyFill="1" applyBorder="1" applyAlignment="1" applyProtection="1">
      <alignment horizontal="left"/>
      <protection locked="0"/>
    </xf>
    <xf numFmtId="0" fontId="17" fillId="10" borderId="6" xfId="0" applyFont="1" applyFill="1" applyBorder="1" applyAlignment="1">
      <alignment horizontal="left" vertical="top"/>
    </xf>
    <xf numFmtId="0" fontId="13" fillId="2" borderId="0" xfId="0" applyFont="1" applyFill="1" applyAlignment="1">
      <alignment horizontal="left" vertical="top"/>
    </xf>
    <xf numFmtId="0" fontId="0" fillId="0" borderId="0" xfId="0"/>
    <xf numFmtId="0" fontId="14" fillId="3" borderId="0" xfId="0" applyFont="1" applyFill="1" applyAlignment="1">
      <alignment horizontal="left" vertical="top"/>
    </xf>
    <xf numFmtId="0" fontId="15" fillId="4" borderId="6" xfId="0" applyFont="1" applyFill="1" applyBorder="1" applyAlignment="1">
      <alignment horizontal="left" vertical="top" wrapText="1"/>
    </xf>
    <xf numFmtId="0" fontId="15" fillId="4" borderId="6" xfId="0" applyFont="1" applyFill="1" applyBorder="1" applyAlignment="1">
      <alignment horizontal="left" vertical="top"/>
    </xf>
    <xf numFmtId="0" fontId="14" fillId="5" borderId="7" xfId="0"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7" xfId="0" applyFont="1" applyFill="1" applyBorder="1" applyAlignment="1">
      <alignment wrapText="1"/>
    </xf>
    <xf numFmtId="0" fontId="14" fillId="5" borderId="0" xfId="0" applyFont="1" applyFill="1" applyAlignment="1">
      <alignment wrapText="1"/>
    </xf>
    <xf numFmtId="0" fontId="14" fillId="3" borderId="6" xfId="0" applyFont="1" applyFill="1" applyBorder="1" applyAlignment="1">
      <alignment horizontal="left" vertical="top"/>
    </xf>
    <xf numFmtId="0" fontId="17" fillId="6" borderId="6" xfId="0" applyFont="1" applyFill="1" applyBorder="1" applyAlignment="1">
      <alignment horizontal="left" vertical="top"/>
    </xf>
    <xf numFmtId="0" fontId="17" fillId="6" borderId="10" xfId="0" applyFont="1" applyFill="1" applyBorder="1" applyAlignment="1">
      <alignment horizontal="left" vertical="top"/>
    </xf>
    <xf numFmtId="0" fontId="22" fillId="0" borderId="25" xfId="0" applyFont="1" applyBorder="1" applyAlignment="1">
      <alignment horizontal="left" wrapText="1" indent="3"/>
    </xf>
    <xf numFmtId="0" fontId="22" fillId="0" borderId="26" xfId="0" applyFont="1" applyBorder="1" applyAlignment="1">
      <alignment horizontal="left" wrapText="1" indent="3"/>
    </xf>
    <xf numFmtId="0" fontId="22" fillId="0" borderId="27" xfId="0" applyFont="1" applyBorder="1" applyAlignment="1">
      <alignment horizontal="left" wrapText="1" indent="3"/>
    </xf>
    <xf numFmtId="0" fontId="21" fillId="5" borderId="0" xfId="0" applyFont="1" applyFill="1"/>
    <xf numFmtId="0" fontId="21" fillId="5" borderId="20" xfId="0" applyFont="1" applyFill="1" applyBorder="1"/>
    <xf numFmtId="0" fontId="22" fillId="0" borderId="6" xfId="0" applyFont="1" applyBorder="1" applyAlignment="1">
      <alignment horizontal="left" vertical="top" wrapText="1"/>
    </xf>
    <xf numFmtId="0" fontId="22" fillId="0" borderId="6" xfId="0" applyFont="1" applyBorder="1"/>
    <xf numFmtId="0" fontId="27" fillId="0" borderId="6" xfId="0" applyFont="1" applyBorder="1" applyAlignment="1">
      <alignment horizontal="left" vertical="top" wrapText="1"/>
    </xf>
    <xf numFmtId="0" fontId="28" fillId="0" borderId="6" xfId="0" applyFont="1" applyBorder="1" applyAlignment="1">
      <alignment wrapText="1"/>
    </xf>
    <xf numFmtId="0" fontId="22" fillId="0" borderId="6" xfId="0" applyFont="1" applyBorder="1" applyAlignment="1">
      <alignment horizontal="left" wrapText="1" indent="3"/>
    </xf>
  </cellXfs>
  <cellStyles count="1">
    <cellStyle name="Normal" xfId="0" builtinId="0"/>
  </cellStyles>
  <dxfs count="4">
    <dxf>
      <alignment horizontal="general"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i val="0"/>
        <strike val="0"/>
        <condense val="0"/>
        <extend val="0"/>
        <outline val="0"/>
        <shadow val="0"/>
        <u val="none"/>
        <vertAlign val="baseline"/>
        <sz val="12"/>
        <color theme="1"/>
        <name val="Aptos Narrow"/>
        <scheme val="minor"/>
      </font>
    </dxf>
  </dxfs>
  <tableStyles count="0" defaultTableStyle="TableStyleMedium2" defaultPivotStyle="PivotStyleLight16"/>
  <colors>
    <mruColors>
      <color rgb="FFFFF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127000</xdr:colOff>
      <xdr:row>0</xdr:row>
      <xdr:rowOff>0</xdr:rowOff>
    </xdr:from>
    <xdr:to>
      <xdr:col>1</xdr:col>
      <xdr:colOff>1591734</xdr:colOff>
      <xdr:row>6</xdr:row>
      <xdr:rowOff>81382</xdr:rowOff>
    </xdr:to>
    <xdr:pic>
      <xdr:nvPicPr>
        <xdr:cNvPr id="2" name="Picture 1">
          <a:extLst>
            <a:ext uri="{FF2B5EF4-FFF2-40B4-BE49-F238E27FC236}">
              <a16:creationId xmlns:a16="http://schemas.microsoft.com/office/drawing/2014/main" id="{C87963B4-4986-1D78-739B-FC89D3B64092}"/>
            </a:ext>
          </a:extLst>
        </xdr:cNvPr>
        <xdr:cNvPicPr>
          <a:picLocks noChangeAspect="1"/>
        </xdr:cNvPicPr>
      </xdr:nvPicPr>
      <xdr:blipFill>
        <a:blip xmlns:r="http://schemas.openxmlformats.org/officeDocument/2006/relationships" r:embed="rId1"/>
        <a:stretch>
          <a:fillRect/>
        </a:stretch>
      </xdr:blipFill>
      <xdr:spPr>
        <a:xfrm>
          <a:off x="482600" y="0"/>
          <a:ext cx="1464734" cy="15291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228600</xdr:colOff>
      <xdr:row>18</xdr:row>
      <xdr:rowOff>85725</xdr:rowOff>
    </xdr:from>
    <xdr:to>
      <xdr:col>6</xdr:col>
      <xdr:colOff>647700</xdr:colOff>
      <xdr:row>53</xdr:row>
      <xdr:rowOff>83457</xdr:rowOff>
    </xdr:to>
    <xdr:pic>
      <xdr:nvPicPr>
        <xdr:cNvPr id="3" name="Picture 2">
          <a:extLst>
            <a:ext uri="{FF2B5EF4-FFF2-40B4-BE49-F238E27FC236}">
              <a16:creationId xmlns:a16="http://schemas.microsoft.com/office/drawing/2014/main" id="{82161B89-E37F-7045-9A7F-957CEE89A1F9}"/>
            </a:ext>
          </a:extLst>
        </xdr:cNvPr>
        <xdr:cNvPicPr>
          <a:picLocks noChangeAspect="1"/>
        </xdr:cNvPicPr>
      </xdr:nvPicPr>
      <xdr:blipFill>
        <a:blip xmlns:r="http://schemas.openxmlformats.org/officeDocument/2006/relationships" r:embed="rId1"/>
        <a:stretch>
          <a:fillRect/>
        </a:stretch>
      </xdr:blipFill>
      <xdr:spPr>
        <a:xfrm>
          <a:off x="228600" y="4022725"/>
          <a:ext cx="5664200" cy="666523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E9EDBE-BAA0-2649-8420-04A072FC3025}" name="Materials_List" displayName="Materials_List" ref="A1:E432" totalsRowShown="0" headerRowDxfId="3">
  <autoFilter ref="A1:E432" xr:uid="{64E9EDBE-BAA0-2649-8420-04A072FC3025}"/>
  <sortState xmlns:xlrd2="http://schemas.microsoft.com/office/spreadsheetml/2017/richdata2" ref="A2:E432">
    <sortCondition ref="A4:A432"/>
  </sortState>
  <tableColumns count="5">
    <tableColumn id="2" xr3:uid="{83657D97-6332-1B4C-A0D9-E9267597AEBF}" name="Material"/>
    <tableColumn id="3" xr3:uid="{002EB558-8C4A-AD49-A117-A0B4CB1E49B8}" name="Min weight" dataDxfId="2"/>
    <tableColumn id="4" xr3:uid="{82571E9A-82D4-7544-B8D7-096166EBBD25}" name="Max weight" dataDxfId="1"/>
    <tableColumn id="5" xr3:uid="{6A6EAA5A-998D-C047-ADFE-33B84CEEC004}" name="Unit measure" dataDxfId="0"/>
    <tableColumn id="6" xr3:uid="{B0E957A1-C37F-ED48-959A-8F1C17669123}" name="Comment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857E5-31A7-D145-AC62-E7747E694C18}">
  <sheetPr>
    <tabColor rgb="FF00B050"/>
  </sheetPr>
  <dimension ref="A2:I49"/>
  <sheetViews>
    <sheetView showGridLines="0" showRowColHeaders="0" tabSelected="1" showWhiteSpace="0" view="pageLayout" zoomScale="150" zoomScaleNormal="100" zoomScalePageLayoutView="150" workbookViewId="0">
      <selection activeCell="F19" sqref="F19"/>
    </sheetView>
  </sheetViews>
  <sheetFormatPr baseColWidth="10" defaultRowHeight="16" x14ac:dyDescent="0.2"/>
  <cols>
    <col min="1" max="1" width="4.6640625" customWidth="1"/>
    <col min="2" max="2" width="28.6640625" style="10" customWidth="1"/>
    <col min="3" max="3" width="12.5" customWidth="1"/>
    <col min="4" max="4" width="12.33203125" customWidth="1"/>
    <col min="5" max="5" width="7.6640625" customWidth="1"/>
    <col min="6" max="6" width="16.1640625" customWidth="1"/>
    <col min="7" max="7" width="20.5" customWidth="1"/>
    <col min="8" max="8" width="11.5" customWidth="1"/>
    <col min="9" max="9" width="0" hidden="1" customWidth="1"/>
    <col min="11" max="11" width="0" hidden="1" customWidth="1"/>
  </cols>
  <sheetData>
    <row r="2" spans="2:8" ht="34" x14ac:dyDescent="0.4">
      <c r="C2" s="11" t="s">
        <v>191</v>
      </c>
    </row>
    <row r="7" spans="2:8" x14ac:dyDescent="0.2">
      <c r="B7" s="9" t="s">
        <v>188</v>
      </c>
      <c r="C7" s="72"/>
      <c r="D7" s="72"/>
      <c r="E7" s="72"/>
      <c r="F7" s="72"/>
      <c r="G7" s="72"/>
      <c r="H7" s="72"/>
    </row>
    <row r="8" spans="2:8" x14ac:dyDescent="0.2">
      <c r="B8" s="9" t="s">
        <v>189</v>
      </c>
      <c r="C8" s="71"/>
      <c r="D8" s="71"/>
      <c r="E8" s="71"/>
      <c r="F8" s="71"/>
      <c r="G8" s="71"/>
      <c r="H8" s="71"/>
    </row>
    <row r="9" spans="2:8" x14ac:dyDescent="0.2">
      <c r="B9" s="9" t="s">
        <v>185</v>
      </c>
      <c r="C9" s="71"/>
      <c r="D9" s="71"/>
      <c r="E9" t="s">
        <v>186</v>
      </c>
      <c r="F9" s="71"/>
      <c r="G9" s="71"/>
      <c r="H9" s="71"/>
    </row>
    <row r="10" spans="2:8" x14ac:dyDescent="0.2">
      <c r="B10" s="9" t="s">
        <v>187</v>
      </c>
      <c r="C10" s="72"/>
      <c r="D10" s="72"/>
      <c r="E10" s="72"/>
      <c r="F10" s="72"/>
      <c r="G10" s="72"/>
      <c r="H10" s="72"/>
    </row>
    <row r="11" spans="2:8" x14ac:dyDescent="0.2">
      <c r="B11" s="9" t="s">
        <v>569</v>
      </c>
      <c r="C11" s="71"/>
      <c r="D11" s="71"/>
      <c r="E11" s="71"/>
      <c r="F11" s="71"/>
      <c r="G11" s="71"/>
      <c r="H11" s="71"/>
    </row>
    <row r="13" spans="2:8" x14ac:dyDescent="0.2">
      <c r="B13" s="10" t="s">
        <v>190</v>
      </c>
    </row>
    <row r="14" spans="2:8" x14ac:dyDescent="0.2">
      <c r="B14" s="10" t="s">
        <v>194</v>
      </c>
    </row>
    <row r="15" spans="2:8" x14ac:dyDescent="0.2">
      <c r="B15" s="10" t="s">
        <v>466</v>
      </c>
    </row>
    <row r="17" spans="1:9" x14ac:dyDescent="0.2">
      <c r="B17" s="9" t="s">
        <v>178</v>
      </c>
      <c r="C17" s="2" t="s">
        <v>180</v>
      </c>
      <c r="D17" s="2" t="s">
        <v>181</v>
      </c>
      <c r="E17" s="2" t="s">
        <v>179</v>
      </c>
      <c r="F17" s="2" t="s">
        <v>568</v>
      </c>
      <c r="G17" s="14" t="s">
        <v>193</v>
      </c>
      <c r="H17" s="2" t="s">
        <v>456</v>
      </c>
      <c r="I17" s="2" t="s">
        <v>481</v>
      </c>
    </row>
    <row r="18" spans="1:9" s="4" customFormat="1" ht="17" x14ac:dyDescent="0.2">
      <c r="A18" s="4">
        <v>1</v>
      </c>
      <c r="B18" s="67" t="s">
        <v>137</v>
      </c>
      <c r="C18" s="13">
        <f>VLOOKUP(B18,Materials_List[],2,0)</f>
        <v>0</v>
      </c>
      <c r="D18" s="13">
        <f>VLOOKUP(B18,Materials_List[],3,0)</f>
        <v>540</v>
      </c>
      <c r="E18" s="13" t="str">
        <f>VLOOKUP(B18,Materials_List[],4,0)</f>
        <v>m2</v>
      </c>
      <c r="F18" s="68">
        <v>10</v>
      </c>
      <c r="G18" s="13">
        <f t="shared" ref="G18:G37" si="0">F18*D18</f>
        <v>5400</v>
      </c>
      <c r="H18" s="25" t="str">
        <f>IF(VLOOKUP(B18,Materials_List[],5,0)="","",VLOOKUP(B18,Materials_List[],5,0))</f>
        <v/>
      </c>
      <c r="I18" s="24" t="e">
        <f>VLOOKUP(B18,Materials_List[],6,0)</f>
        <v>#REF!</v>
      </c>
    </row>
    <row r="19" spans="1:9" s="4" customFormat="1" ht="17" x14ac:dyDescent="0.2">
      <c r="A19" s="4">
        <v>2</v>
      </c>
      <c r="B19" s="67" t="s">
        <v>192</v>
      </c>
      <c r="C19" s="13">
        <f>VLOOKUP(B19,Materials_List[],2,0)</f>
        <v>0</v>
      </c>
      <c r="D19" s="13">
        <f>VLOOKUP(B19,Materials_List[],3,0)</f>
        <v>0</v>
      </c>
      <c r="E19" s="13">
        <f>VLOOKUP(B19,Materials_List[],4,0)</f>
        <v>0</v>
      </c>
      <c r="F19" s="68">
        <v>0</v>
      </c>
      <c r="G19" s="13">
        <f t="shared" si="0"/>
        <v>0</v>
      </c>
      <c r="H19" s="25" t="str">
        <f>IF(VLOOKUP(B19,Materials_List[],5,0)="","",VLOOKUP(B19,Materials_List[],5,0))</f>
        <v/>
      </c>
      <c r="I19" s="24" t="e">
        <f>VLOOKUP(B19,Materials_List[],6,0)</f>
        <v>#REF!</v>
      </c>
    </row>
    <row r="20" spans="1:9" s="4" customFormat="1" ht="17" x14ac:dyDescent="0.2">
      <c r="A20" s="4">
        <v>3</v>
      </c>
      <c r="B20" s="67" t="s">
        <v>192</v>
      </c>
      <c r="C20" s="13">
        <f>VLOOKUP(B20,Materials_List[],2,0)</f>
        <v>0</v>
      </c>
      <c r="D20" s="13">
        <f>VLOOKUP(B20,Materials_List[],3,0)</f>
        <v>0</v>
      </c>
      <c r="E20" s="13">
        <f>VLOOKUP(B20,Materials_List[],4,0)</f>
        <v>0</v>
      </c>
      <c r="F20" s="68">
        <v>0</v>
      </c>
      <c r="G20" s="13">
        <f t="shared" si="0"/>
        <v>0</v>
      </c>
      <c r="H20" s="25" t="str">
        <f>IF(VLOOKUP(B20,Materials_List[],5,0)="","",VLOOKUP(B20,Materials_List[],5,0))</f>
        <v/>
      </c>
      <c r="I20" s="24" t="e">
        <f>VLOOKUP(B20,Materials_List[],6,0)</f>
        <v>#REF!</v>
      </c>
    </row>
    <row r="21" spans="1:9" s="4" customFormat="1" ht="17" x14ac:dyDescent="0.2">
      <c r="A21" s="4">
        <v>4</v>
      </c>
      <c r="B21" s="67" t="s">
        <v>192</v>
      </c>
      <c r="C21" s="13">
        <f>VLOOKUP(B21,Materials_List[],2,0)</f>
        <v>0</v>
      </c>
      <c r="D21" s="13">
        <f>VLOOKUP(B21,Materials_List[],3,0)</f>
        <v>0</v>
      </c>
      <c r="E21" s="13">
        <f>VLOOKUP(B21,Materials_List[],4,0)</f>
        <v>0</v>
      </c>
      <c r="F21" s="68">
        <v>0</v>
      </c>
      <c r="G21" s="13">
        <f t="shared" si="0"/>
        <v>0</v>
      </c>
      <c r="H21" s="25" t="str">
        <f>IF(VLOOKUP(B21,Materials_List[],5,0)="","",VLOOKUP(B21,Materials_List[],5,0))</f>
        <v/>
      </c>
      <c r="I21" s="24" t="e">
        <f>VLOOKUP(B21,Materials_List[],6,0)</f>
        <v>#REF!</v>
      </c>
    </row>
    <row r="22" spans="1:9" s="4" customFormat="1" ht="17" x14ac:dyDescent="0.2">
      <c r="A22" s="4">
        <v>5</v>
      </c>
      <c r="B22" s="67" t="s">
        <v>192</v>
      </c>
      <c r="C22" s="13">
        <f>VLOOKUP(B22,Materials_List[],2,0)</f>
        <v>0</v>
      </c>
      <c r="D22" s="13">
        <f>VLOOKUP(B22,Materials_List[],3,0)</f>
        <v>0</v>
      </c>
      <c r="E22" s="13">
        <f>VLOOKUP(B22,Materials_List[],4,0)</f>
        <v>0</v>
      </c>
      <c r="F22" s="68">
        <v>0</v>
      </c>
      <c r="G22" s="13">
        <f t="shared" si="0"/>
        <v>0</v>
      </c>
      <c r="H22" s="25" t="str">
        <f>IF(VLOOKUP(B22,Materials_List[],5,0)="","",VLOOKUP(B22,Materials_List[],5,0))</f>
        <v/>
      </c>
      <c r="I22" s="24" t="e">
        <f>VLOOKUP(B22,Materials_List[],6,0)</f>
        <v>#REF!</v>
      </c>
    </row>
    <row r="23" spans="1:9" s="4" customFormat="1" ht="17" x14ac:dyDescent="0.2">
      <c r="A23" s="4">
        <v>6</v>
      </c>
      <c r="B23" s="67" t="s">
        <v>192</v>
      </c>
      <c r="C23" s="13">
        <f>VLOOKUP(B23,Materials_List[],2,0)</f>
        <v>0</v>
      </c>
      <c r="D23" s="13">
        <f>VLOOKUP(B23,Materials_List[],3,0)</f>
        <v>0</v>
      </c>
      <c r="E23" s="13">
        <f>VLOOKUP(B23,Materials_List[],4,0)</f>
        <v>0</v>
      </c>
      <c r="F23" s="68">
        <v>0</v>
      </c>
      <c r="G23" s="13">
        <f t="shared" si="0"/>
        <v>0</v>
      </c>
      <c r="H23" s="25" t="str">
        <f>IF(VLOOKUP(B23,Materials_List[],5,0)="","",VLOOKUP(B23,Materials_List[],5,0))</f>
        <v/>
      </c>
      <c r="I23" s="24" t="e">
        <f>VLOOKUP(B23,Materials_List[],6,0)</f>
        <v>#REF!</v>
      </c>
    </row>
    <row r="24" spans="1:9" s="4" customFormat="1" ht="17" x14ac:dyDescent="0.2">
      <c r="A24" s="4">
        <v>7</v>
      </c>
      <c r="B24" s="67" t="s">
        <v>192</v>
      </c>
      <c r="C24" s="13">
        <v>0</v>
      </c>
      <c r="D24" s="13">
        <f>VLOOKUP(B24,Materials_List[],3,0)</f>
        <v>0</v>
      </c>
      <c r="E24" s="13">
        <f>VLOOKUP(B24,Materials_List[],4,0)</f>
        <v>0</v>
      </c>
      <c r="F24" s="68">
        <v>0</v>
      </c>
      <c r="G24" s="13">
        <f t="shared" si="0"/>
        <v>0</v>
      </c>
      <c r="H24" s="25" t="str">
        <f>IF(VLOOKUP(B24,Materials_List[],5,0)="","",VLOOKUP(B24,Materials_List[],5,0))</f>
        <v/>
      </c>
      <c r="I24" s="24" t="e">
        <f>VLOOKUP(B24,Materials_List[],6,0)</f>
        <v>#REF!</v>
      </c>
    </row>
    <row r="25" spans="1:9" s="4" customFormat="1" ht="17" x14ac:dyDescent="0.2">
      <c r="A25" s="4">
        <v>8</v>
      </c>
      <c r="B25" s="67" t="s">
        <v>192</v>
      </c>
      <c r="C25" s="13">
        <f>VLOOKUP(B25,Materials_List[],2,0)</f>
        <v>0</v>
      </c>
      <c r="D25" s="13">
        <f>VLOOKUP(B25,Materials_List[],3,0)</f>
        <v>0</v>
      </c>
      <c r="E25" s="13">
        <f>VLOOKUP(B25,Materials_List[],4,0)</f>
        <v>0</v>
      </c>
      <c r="F25" s="68">
        <v>0</v>
      </c>
      <c r="G25" s="13">
        <f t="shared" si="0"/>
        <v>0</v>
      </c>
      <c r="H25" s="25" t="str">
        <f>IF(VLOOKUP(B25,Materials_List[],5,0)="","",VLOOKUP(B25,Materials_List[],5,0))</f>
        <v/>
      </c>
      <c r="I25" s="24" t="e">
        <f>VLOOKUP(B25,Materials_List[],6,0)</f>
        <v>#REF!</v>
      </c>
    </row>
    <row r="26" spans="1:9" s="4" customFormat="1" ht="17" x14ac:dyDescent="0.2">
      <c r="A26" s="4">
        <v>9</v>
      </c>
      <c r="B26" s="67" t="s">
        <v>192</v>
      </c>
      <c r="C26" s="13">
        <f>VLOOKUP(B26,Materials_List[],2,0)</f>
        <v>0</v>
      </c>
      <c r="D26" s="13">
        <f>VLOOKUP(B26,Materials_List[],3,0)</f>
        <v>0</v>
      </c>
      <c r="E26" s="13">
        <f>VLOOKUP(B26,Materials_List[],4,0)</f>
        <v>0</v>
      </c>
      <c r="F26" s="68">
        <v>0</v>
      </c>
      <c r="G26" s="13">
        <f t="shared" si="0"/>
        <v>0</v>
      </c>
      <c r="H26" s="25" t="str">
        <f>IF(VLOOKUP(B26,Materials_List[],5,0)="","",VLOOKUP(B26,Materials_List[],5,0))</f>
        <v/>
      </c>
      <c r="I26" s="24" t="e">
        <f>VLOOKUP(B26,Materials_List[],6,0)</f>
        <v>#REF!</v>
      </c>
    </row>
    <row r="27" spans="1:9" s="4" customFormat="1" ht="17" x14ac:dyDescent="0.2">
      <c r="A27" s="4">
        <v>10</v>
      </c>
      <c r="B27" s="67" t="s">
        <v>192</v>
      </c>
      <c r="C27" s="13">
        <f>VLOOKUP(B27,Materials_List[],2,0)</f>
        <v>0</v>
      </c>
      <c r="D27" s="13">
        <f>VLOOKUP(B27,Materials_List[],3,0)</f>
        <v>0</v>
      </c>
      <c r="E27" s="13">
        <f>VLOOKUP(B27,Materials_List[],4,0)</f>
        <v>0</v>
      </c>
      <c r="F27" s="69">
        <v>0</v>
      </c>
      <c r="G27" s="13">
        <f t="shared" si="0"/>
        <v>0</v>
      </c>
      <c r="H27" s="25" t="str">
        <f>IF(VLOOKUP(B27,Materials_List[],5,0)="","",VLOOKUP(B27,Materials_List[],5,0))</f>
        <v/>
      </c>
      <c r="I27" s="24" t="e">
        <f>VLOOKUP(B27,Materials_List[],6,0)</f>
        <v>#REF!</v>
      </c>
    </row>
    <row r="28" spans="1:9" s="4" customFormat="1" ht="17" x14ac:dyDescent="0.2">
      <c r="A28" s="4">
        <v>11</v>
      </c>
      <c r="B28" s="67" t="s">
        <v>192</v>
      </c>
      <c r="C28" s="13">
        <f>VLOOKUP(B28,Materials_List[],2,0)</f>
        <v>0</v>
      </c>
      <c r="D28" s="13">
        <f>VLOOKUP(B28,Materials_List[],3,0)</f>
        <v>0</v>
      </c>
      <c r="E28" s="13">
        <f>VLOOKUP(B28,Materials_List[],4,0)</f>
        <v>0</v>
      </c>
      <c r="F28" s="68">
        <v>0</v>
      </c>
      <c r="G28" s="13">
        <f t="shared" si="0"/>
        <v>0</v>
      </c>
      <c r="H28" s="25" t="str">
        <f>IF(VLOOKUP(B28,Materials_List[],5,0)="","",VLOOKUP(B28,Materials_List[],5,0))</f>
        <v/>
      </c>
      <c r="I28" s="24" t="e">
        <f>VLOOKUP(B28,Materials_List[],6,0)</f>
        <v>#REF!</v>
      </c>
    </row>
    <row r="29" spans="1:9" s="4" customFormat="1" ht="17" x14ac:dyDescent="0.2">
      <c r="A29" s="4">
        <v>12</v>
      </c>
      <c r="B29" s="67" t="s">
        <v>192</v>
      </c>
      <c r="C29" s="13">
        <f>VLOOKUP(B29,Materials_List[],2,0)</f>
        <v>0</v>
      </c>
      <c r="D29" s="13">
        <f>VLOOKUP(B29,Materials_List[],3,0)</f>
        <v>0</v>
      </c>
      <c r="E29" s="13">
        <f>VLOOKUP(B29,Materials_List[],4,0)</f>
        <v>0</v>
      </c>
      <c r="F29" s="68">
        <v>0</v>
      </c>
      <c r="G29" s="13">
        <f t="shared" si="0"/>
        <v>0</v>
      </c>
      <c r="H29" s="25" t="str">
        <f>IF(VLOOKUP(B29,Materials_List[],5,0)="","",VLOOKUP(B29,Materials_List[],5,0))</f>
        <v/>
      </c>
      <c r="I29" s="24" t="e">
        <f>VLOOKUP(B29,Materials_List[],6,0)</f>
        <v>#REF!</v>
      </c>
    </row>
    <row r="30" spans="1:9" s="4" customFormat="1" ht="17" x14ac:dyDescent="0.2">
      <c r="A30" s="4">
        <v>13</v>
      </c>
      <c r="B30" s="67" t="s">
        <v>192</v>
      </c>
      <c r="C30" s="13">
        <f>VLOOKUP(B30,Materials_List[],2,0)</f>
        <v>0</v>
      </c>
      <c r="D30" s="13">
        <f>VLOOKUP(B30,Materials_List[],3,0)</f>
        <v>0</v>
      </c>
      <c r="E30" s="13">
        <f>VLOOKUP(B30,Materials_List[],4,0)</f>
        <v>0</v>
      </c>
      <c r="F30" s="68">
        <v>0</v>
      </c>
      <c r="G30" s="13">
        <f t="shared" si="0"/>
        <v>0</v>
      </c>
      <c r="H30" s="25" t="str">
        <f>IF(VLOOKUP(B30,Materials_List[],5,0)="","",VLOOKUP(B30,Materials_List[],5,0))</f>
        <v/>
      </c>
      <c r="I30" s="24" t="e">
        <f>VLOOKUP(B30,Materials_List[],6,0)</f>
        <v>#REF!</v>
      </c>
    </row>
    <row r="31" spans="1:9" s="4" customFormat="1" ht="17" x14ac:dyDescent="0.2">
      <c r="A31" s="4">
        <v>14</v>
      </c>
      <c r="B31" s="67" t="s">
        <v>192</v>
      </c>
      <c r="C31" s="13">
        <f>VLOOKUP(B31,Materials_List[],2,0)</f>
        <v>0</v>
      </c>
      <c r="D31" s="13">
        <f>VLOOKUP(B31,Materials_List[],3,0)</f>
        <v>0</v>
      </c>
      <c r="E31" s="13">
        <f>VLOOKUP(B31,Materials_List[],4,0)</f>
        <v>0</v>
      </c>
      <c r="F31" s="68">
        <v>0</v>
      </c>
      <c r="G31" s="13">
        <f t="shared" si="0"/>
        <v>0</v>
      </c>
      <c r="H31" s="25" t="str">
        <f>IF(VLOOKUP(B31,Materials_List[],5,0)="","",VLOOKUP(B31,Materials_List[],5,0))</f>
        <v/>
      </c>
      <c r="I31" s="24" t="e">
        <f>VLOOKUP(B31,Materials_List[],6,0)</f>
        <v>#REF!</v>
      </c>
    </row>
    <row r="32" spans="1:9" s="4" customFormat="1" ht="17" x14ac:dyDescent="0.2">
      <c r="A32" s="4">
        <v>15</v>
      </c>
      <c r="B32" s="67" t="s">
        <v>192</v>
      </c>
      <c r="C32" s="13">
        <f>VLOOKUP(B32,Materials_List[],2,0)</f>
        <v>0</v>
      </c>
      <c r="D32" s="13">
        <f>VLOOKUP(B32,Materials_List[],3,0)</f>
        <v>0</v>
      </c>
      <c r="E32" s="13">
        <f>VLOOKUP(B32,Materials_List[],4,0)</f>
        <v>0</v>
      </c>
      <c r="F32" s="68">
        <v>0</v>
      </c>
      <c r="G32" s="13">
        <f t="shared" si="0"/>
        <v>0</v>
      </c>
      <c r="H32" s="25" t="str">
        <f>IF(VLOOKUP(B32,Materials_List[],5,0)="","",VLOOKUP(B32,Materials_List[],5,0))</f>
        <v/>
      </c>
      <c r="I32" s="24" t="e">
        <f>VLOOKUP(B32,Materials_List[],6,0)</f>
        <v>#REF!</v>
      </c>
    </row>
    <row r="33" spans="1:9" s="4" customFormat="1" ht="17" x14ac:dyDescent="0.2">
      <c r="A33" s="4">
        <v>16</v>
      </c>
      <c r="B33" s="67" t="s">
        <v>192</v>
      </c>
      <c r="C33" s="13">
        <f>VLOOKUP(B33,Materials_List[],2,0)</f>
        <v>0</v>
      </c>
      <c r="D33" s="13">
        <f>VLOOKUP(B33,Materials_List[],3,0)</f>
        <v>0</v>
      </c>
      <c r="E33" s="13">
        <f>VLOOKUP(B33,Materials_List[],4,0)</f>
        <v>0</v>
      </c>
      <c r="F33" s="68">
        <v>0</v>
      </c>
      <c r="G33" s="13">
        <f t="shared" si="0"/>
        <v>0</v>
      </c>
      <c r="H33" s="25" t="str">
        <f>IF(VLOOKUP(B33,Materials_List[],5,0)="","",VLOOKUP(B33,Materials_List[],5,0))</f>
        <v/>
      </c>
      <c r="I33" s="24" t="e">
        <f>VLOOKUP(B33,Materials_List[],6,0)</f>
        <v>#REF!</v>
      </c>
    </row>
    <row r="34" spans="1:9" s="4" customFormat="1" ht="17" x14ac:dyDescent="0.2">
      <c r="A34" s="4">
        <v>17</v>
      </c>
      <c r="B34" s="67" t="s">
        <v>192</v>
      </c>
      <c r="C34" s="13">
        <f>VLOOKUP(B34,Materials_List[],2,0)</f>
        <v>0</v>
      </c>
      <c r="D34" s="13">
        <f>VLOOKUP(B34,Materials_List[],3,0)</f>
        <v>0</v>
      </c>
      <c r="E34" s="13">
        <f>VLOOKUP(B34,Materials_List[],4,0)</f>
        <v>0</v>
      </c>
      <c r="F34" s="68">
        <v>0</v>
      </c>
      <c r="G34" s="13">
        <f t="shared" si="0"/>
        <v>0</v>
      </c>
      <c r="H34" s="25" t="str">
        <f>IF(VLOOKUP(B34,Materials_List[],5,0)="","",VLOOKUP(B34,Materials_List[],5,0))</f>
        <v/>
      </c>
      <c r="I34" s="24" t="e">
        <f>VLOOKUP(B34,Materials_List[],6,0)</f>
        <v>#REF!</v>
      </c>
    </row>
    <row r="35" spans="1:9" s="4" customFormat="1" ht="17" x14ac:dyDescent="0.2">
      <c r="A35" s="4">
        <v>18</v>
      </c>
      <c r="B35" s="67" t="s">
        <v>192</v>
      </c>
      <c r="C35" s="13">
        <f>VLOOKUP(B35,Materials_List[],2,0)</f>
        <v>0</v>
      </c>
      <c r="D35" s="13">
        <f>VLOOKUP(B35,Materials_List[],3,0)</f>
        <v>0</v>
      </c>
      <c r="E35" s="13">
        <f>VLOOKUP(B35,Materials_List[],4,0)</f>
        <v>0</v>
      </c>
      <c r="F35" s="68">
        <v>0</v>
      </c>
      <c r="G35" s="13">
        <f t="shared" si="0"/>
        <v>0</v>
      </c>
      <c r="H35" s="25" t="str">
        <f>IF(VLOOKUP(B35,Materials_List[],5,0)="","",VLOOKUP(B35,Materials_List[],5,0))</f>
        <v/>
      </c>
      <c r="I35" s="24" t="e">
        <f>VLOOKUP(B35,Materials_List[],6,0)</f>
        <v>#REF!</v>
      </c>
    </row>
    <row r="36" spans="1:9" s="4" customFormat="1" ht="17" x14ac:dyDescent="0.2">
      <c r="A36" s="4">
        <v>19</v>
      </c>
      <c r="B36" s="67" t="s">
        <v>192</v>
      </c>
      <c r="C36" s="13">
        <f>VLOOKUP(B36,Materials_List[],2,0)</f>
        <v>0</v>
      </c>
      <c r="D36" s="13">
        <f>VLOOKUP(B36,Materials_List[],3,0)</f>
        <v>0</v>
      </c>
      <c r="E36" s="13">
        <f>VLOOKUP(B36,Materials_List[],4,0)</f>
        <v>0</v>
      </c>
      <c r="F36" s="68">
        <v>0</v>
      </c>
      <c r="G36" s="13">
        <f t="shared" si="0"/>
        <v>0</v>
      </c>
      <c r="H36" s="25" t="str">
        <f>IF(VLOOKUP(B36,Materials_List[],5,0)="","",VLOOKUP(B36,Materials_List[],5,0))</f>
        <v/>
      </c>
      <c r="I36" s="24" t="e">
        <f>VLOOKUP(B36,Materials_List[],6,0)</f>
        <v>#REF!</v>
      </c>
    </row>
    <row r="37" spans="1:9" s="4" customFormat="1" ht="17" x14ac:dyDescent="0.2">
      <c r="A37" s="4">
        <v>20</v>
      </c>
      <c r="B37" s="67" t="s">
        <v>192</v>
      </c>
      <c r="C37" s="13">
        <f>VLOOKUP(B37,Materials_List[],2,0)</f>
        <v>0</v>
      </c>
      <c r="D37" s="13">
        <f>VLOOKUP(B37,Materials_List[],3,0)</f>
        <v>0</v>
      </c>
      <c r="E37" s="13">
        <f>VLOOKUP(B37,Materials_List[],4,0)</f>
        <v>0</v>
      </c>
      <c r="F37" s="68">
        <v>0</v>
      </c>
      <c r="G37" s="13">
        <f t="shared" si="0"/>
        <v>0</v>
      </c>
      <c r="H37" s="25" t="str">
        <f>IF(VLOOKUP(B37,Materials_List[],5,0)="","",VLOOKUP(B37,Materials_List[],5,0))</f>
        <v/>
      </c>
      <c r="I37" s="24" t="e">
        <f>VLOOKUP(B37,Materials_List[],6,0)</f>
        <v>#REF!</v>
      </c>
    </row>
    <row r="39" spans="1:9" ht="17" x14ac:dyDescent="0.2">
      <c r="B39" s="15" t="s">
        <v>182</v>
      </c>
      <c r="G39" s="16">
        <f>SUM(G18:G37)</f>
        <v>5400</v>
      </c>
    </row>
    <row r="40" spans="1:9" ht="17" x14ac:dyDescent="0.2">
      <c r="B40" s="15" t="s">
        <v>183</v>
      </c>
      <c r="G40" s="17">
        <f>G39/1000</f>
        <v>5.4</v>
      </c>
    </row>
    <row r="41" spans="1:9" x14ac:dyDescent="0.2">
      <c r="A41" s="22" t="s">
        <v>465</v>
      </c>
    </row>
    <row r="42" spans="1:9" x14ac:dyDescent="0.2">
      <c r="A42" s="8" t="s">
        <v>457</v>
      </c>
      <c r="B42" s="22" t="s">
        <v>458</v>
      </c>
      <c r="C42" s="8"/>
      <c r="D42" s="8"/>
      <c r="E42" s="8"/>
      <c r="F42" s="8"/>
      <c r="G42" s="8"/>
      <c r="H42" s="8"/>
    </row>
    <row r="43" spans="1:9" x14ac:dyDescent="0.2">
      <c r="A43" s="8" t="s">
        <v>457</v>
      </c>
      <c r="B43" s="22" t="s">
        <v>459</v>
      </c>
      <c r="C43" s="8"/>
      <c r="D43" s="8"/>
      <c r="E43" s="8"/>
      <c r="F43" s="8"/>
      <c r="G43" s="8"/>
      <c r="H43" s="8"/>
    </row>
    <row r="44" spans="1:9" x14ac:dyDescent="0.2">
      <c r="A44" s="8" t="s">
        <v>457</v>
      </c>
      <c r="B44" s="22" t="s">
        <v>460</v>
      </c>
      <c r="C44" s="8"/>
      <c r="D44" s="8"/>
      <c r="E44" s="8"/>
      <c r="F44" s="8"/>
      <c r="G44" s="8"/>
      <c r="H44" s="8"/>
    </row>
    <row r="45" spans="1:9" x14ac:dyDescent="0.2">
      <c r="A45" s="8" t="s">
        <v>457</v>
      </c>
      <c r="B45" s="22" t="s">
        <v>461</v>
      </c>
      <c r="C45" s="8"/>
      <c r="D45" s="8"/>
      <c r="E45" s="8"/>
      <c r="F45" s="8"/>
      <c r="G45" s="8"/>
      <c r="H45" s="8"/>
    </row>
    <row r="46" spans="1:9" x14ac:dyDescent="0.2">
      <c r="A46" s="8" t="s">
        <v>457</v>
      </c>
      <c r="B46" s="22" t="s">
        <v>462</v>
      </c>
      <c r="C46" s="8"/>
      <c r="D46" s="8"/>
      <c r="E46" s="8"/>
      <c r="F46" s="8"/>
      <c r="G46" s="8"/>
      <c r="H46" s="8"/>
    </row>
    <row r="47" spans="1:9" x14ac:dyDescent="0.2">
      <c r="A47" s="8"/>
      <c r="B47" s="8"/>
      <c r="C47" s="8"/>
      <c r="D47" s="8"/>
      <c r="E47" s="8"/>
      <c r="F47" s="8"/>
      <c r="G47" s="8"/>
      <c r="H47" s="8"/>
    </row>
    <row r="48" spans="1:9" x14ac:dyDescent="0.2">
      <c r="A48" s="70" t="s">
        <v>463</v>
      </c>
      <c r="B48" s="70"/>
      <c r="C48" s="70"/>
      <c r="D48" s="70"/>
      <c r="E48" s="70"/>
      <c r="F48" s="70"/>
      <c r="G48" s="70"/>
      <c r="H48" s="70"/>
    </row>
    <row r="49" spans="1:8" x14ac:dyDescent="0.2">
      <c r="A49" s="8" t="s">
        <v>464</v>
      </c>
      <c r="B49" s="22"/>
      <c r="C49" s="8"/>
      <c r="D49" s="8"/>
      <c r="E49" s="8"/>
      <c r="F49" s="8"/>
      <c r="G49" s="8"/>
      <c r="H49" s="8"/>
    </row>
  </sheetData>
  <sheetProtection algorithmName="SHA-512" hashValue="3Slm61W68mb6a1RqXUcVJeHYlJTiQRbo0v1gzltzYrMyeZKGrHZXnf0kRng0uH9kuwSu+ZZEzWZyFRrL/gd3ag==" saltValue="d9p6dBWqmzs0S63MIAsuLg==" spinCount="100000" sheet="1" selectLockedCells="1"/>
  <mergeCells count="7">
    <mergeCell ref="A48:H48"/>
    <mergeCell ref="F9:H9"/>
    <mergeCell ref="C7:H7"/>
    <mergeCell ref="C8:H8"/>
    <mergeCell ref="C9:D9"/>
    <mergeCell ref="C10:H10"/>
    <mergeCell ref="C11:H11"/>
  </mergeCells>
  <dataValidations count="1">
    <dataValidation type="list" allowBlank="1" showInputMessage="1" showErrorMessage="1" sqref="B18:B37" xr:uid="{473F4C81-59D8-4F49-BD19-23E5B19B3998}">
      <formula1>Materials</formula1>
    </dataValidation>
  </dataValidations>
  <pageMargins left="0.2" right="0" top="0.75" bottom="0.75" header="0.3" footer="0.3"/>
  <pageSetup paperSize="9" fitToWidth="0" fitToHeight="0" orientation="landscape" horizontalDpi="0" verticalDpi="0"/>
  <headerFooter>
    <oddHeader xml:space="preserve">&amp;CNikau Contractors Limited
</oddHeader>
    <oddFooter>&amp;L&amp;"Aptos Narrow,Regular"&amp;K000000Version 1.2024&amp;R&amp;"Aptos Narrow,Regular"&amp;K000000&amp;P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C8204-124F-164F-BAA8-71522F68F080}">
  <sheetPr>
    <tabColor rgb="FFFFFF00"/>
  </sheetPr>
  <dimension ref="A1:U60"/>
  <sheetViews>
    <sheetView showGridLines="0" workbookViewId="0">
      <selection activeCell="D20" sqref="D20"/>
    </sheetView>
  </sheetViews>
  <sheetFormatPr baseColWidth="10" defaultColWidth="11.5" defaultRowHeight="16" x14ac:dyDescent="0.2"/>
  <cols>
    <col min="1" max="1" width="48.83203125" customWidth="1"/>
    <col min="2" max="2" width="34.5" customWidth="1"/>
    <col min="3" max="3" width="6.5" customWidth="1"/>
    <col min="4" max="4" width="17.1640625" customWidth="1"/>
    <col min="5" max="8" width="15.83203125" customWidth="1"/>
    <col min="9" max="9" width="67.1640625" customWidth="1"/>
    <col min="10" max="10" width="18.1640625" customWidth="1"/>
    <col min="11" max="100" width="10.6640625" customWidth="1"/>
  </cols>
  <sheetData>
    <row r="1" spans="1:21" ht="31" x14ac:dyDescent="0.2">
      <c r="A1" s="28" t="s">
        <v>497</v>
      </c>
    </row>
    <row r="2" spans="1:21" ht="24" x14ac:dyDescent="0.2">
      <c r="A2" s="74" t="s">
        <v>498</v>
      </c>
      <c r="B2" s="75"/>
      <c r="C2" s="75"/>
      <c r="D2" s="75"/>
      <c r="E2" s="75"/>
      <c r="F2" s="75"/>
      <c r="G2" s="75"/>
      <c r="H2" s="75"/>
      <c r="I2" s="75"/>
      <c r="J2" s="75"/>
      <c r="K2" s="75"/>
      <c r="L2" s="75"/>
      <c r="M2" s="75"/>
      <c r="N2" s="75"/>
      <c r="O2" s="75"/>
      <c r="P2" s="75"/>
      <c r="Q2" s="75"/>
      <c r="R2" s="75"/>
      <c r="S2" s="75"/>
      <c r="T2" s="75"/>
      <c r="U2" s="75"/>
    </row>
    <row r="4" spans="1:21" ht="31" x14ac:dyDescent="0.2">
      <c r="A4" s="28" t="s">
        <v>499</v>
      </c>
    </row>
    <row r="5" spans="1:21" x14ac:dyDescent="0.2">
      <c r="A5" s="76" t="s">
        <v>500</v>
      </c>
      <c r="B5" s="76"/>
      <c r="C5" s="76"/>
      <c r="D5" s="76"/>
      <c r="E5" s="76"/>
      <c r="F5" s="76"/>
      <c r="G5" s="76"/>
      <c r="H5" s="76"/>
      <c r="I5" s="76"/>
      <c r="J5" s="76"/>
    </row>
    <row r="6" spans="1:21" ht="48" customHeight="1" x14ac:dyDescent="0.2">
      <c r="A6" s="77" t="s">
        <v>539</v>
      </c>
      <c r="B6" s="78"/>
      <c r="C6" s="78"/>
      <c r="D6" s="78"/>
      <c r="E6" s="78"/>
      <c r="F6" s="78"/>
      <c r="G6" s="78"/>
      <c r="H6" s="78"/>
      <c r="I6" s="78"/>
      <c r="J6" s="78"/>
    </row>
    <row r="8" spans="1:21" x14ac:dyDescent="0.2">
      <c r="A8" s="79" t="s">
        <v>501</v>
      </c>
      <c r="B8" s="79"/>
      <c r="C8" s="81" t="s">
        <v>502</v>
      </c>
      <c r="D8" s="29"/>
      <c r="E8" s="30" t="s">
        <v>503</v>
      </c>
      <c r="F8" s="30" t="s">
        <v>504</v>
      </c>
      <c r="G8" s="30" t="s">
        <v>505</v>
      </c>
      <c r="H8" s="30" t="s">
        <v>506</v>
      </c>
    </row>
    <row r="9" spans="1:21" x14ac:dyDescent="0.2">
      <c r="A9" s="80"/>
      <c r="B9" s="80"/>
      <c r="C9" s="82"/>
      <c r="D9" s="29"/>
      <c r="E9" s="31">
        <f>SUM(F9:H9)</f>
        <v>0</v>
      </c>
      <c r="F9" s="32">
        <f>SUM(F25,F41,F47,F60)</f>
        <v>0</v>
      </c>
      <c r="G9" s="32">
        <f>SUM(G25,G41,G47,G60)</f>
        <v>0</v>
      </c>
      <c r="H9" s="32">
        <f>SUM(H25,H41,H47,H60)</f>
        <v>0</v>
      </c>
    </row>
    <row r="11" spans="1:21" ht="17" thickBot="1" x14ac:dyDescent="0.25">
      <c r="A11" s="83" t="s">
        <v>507</v>
      </c>
      <c r="B11" s="83"/>
      <c r="C11" s="83"/>
      <c r="D11" s="83"/>
      <c r="E11" s="83"/>
      <c r="F11" s="83"/>
      <c r="G11" s="83"/>
      <c r="H11" s="83"/>
      <c r="I11" s="83"/>
      <c r="J11" s="83"/>
    </row>
    <row r="12" spans="1:21" ht="17" thickBot="1" x14ac:dyDescent="0.25">
      <c r="A12" s="84" t="s">
        <v>508</v>
      </c>
      <c r="B12" s="85"/>
      <c r="C12" s="34" t="s">
        <v>486</v>
      </c>
      <c r="D12" s="35" t="s">
        <v>509</v>
      </c>
      <c r="E12" s="30" t="s">
        <v>503</v>
      </c>
      <c r="F12" s="30" t="s">
        <v>504</v>
      </c>
      <c r="G12" s="30" t="s">
        <v>505</v>
      </c>
      <c r="H12" s="30" t="s">
        <v>506</v>
      </c>
      <c r="I12" s="33" t="s">
        <v>510</v>
      </c>
      <c r="J12" s="33" t="s">
        <v>511</v>
      </c>
    </row>
    <row r="13" spans="1:21" ht="17" x14ac:dyDescent="0.2">
      <c r="A13" s="73" t="s">
        <v>485</v>
      </c>
      <c r="B13" s="36" t="s">
        <v>494</v>
      </c>
      <c r="C13" s="37" t="s">
        <v>496</v>
      </c>
      <c r="D13" s="63"/>
      <c r="E13" s="31">
        <f t="shared" ref="E13:E24" si="0">F13 + G13 + H13</f>
        <v>0</v>
      </c>
      <c r="F13" s="38">
        <f t="shared" ref="F13:F24" si="1">D13 * 0</f>
        <v>0</v>
      </c>
      <c r="G13" s="38">
        <f>D13 * 0.6741504</f>
        <v>0</v>
      </c>
      <c r="H13" s="38">
        <f t="shared" ref="H13:H24" si="2">D13 * 0</f>
        <v>0</v>
      </c>
      <c r="I13" s="39" t="s">
        <v>540</v>
      </c>
      <c r="J13" s="39" t="s">
        <v>512</v>
      </c>
    </row>
    <row r="14" spans="1:21" ht="17" x14ac:dyDescent="0.2">
      <c r="A14" s="73"/>
      <c r="B14" s="36" t="s">
        <v>495</v>
      </c>
      <c r="C14" s="37" t="s">
        <v>496</v>
      </c>
      <c r="D14" s="64"/>
      <c r="E14" s="31">
        <f t="shared" si="0"/>
        <v>0</v>
      </c>
      <c r="F14" s="38">
        <f t="shared" si="1"/>
        <v>0</v>
      </c>
      <c r="G14" s="38">
        <f>D14 * 0.5515776</f>
        <v>0</v>
      </c>
      <c r="H14" s="38">
        <f t="shared" si="2"/>
        <v>0</v>
      </c>
      <c r="I14" s="39" t="s">
        <v>540</v>
      </c>
      <c r="J14" s="39" t="s">
        <v>512</v>
      </c>
    </row>
    <row r="15" spans="1:21" ht="17" x14ac:dyDescent="0.2">
      <c r="A15" s="73"/>
      <c r="B15" s="36" t="s">
        <v>487</v>
      </c>
      <c r="C15" s="37" t="s">
        <v>496</v>
      </c>
      <c r="D15" s="64"/>
      <c r="E15" s="31">
        <f t="shared" si="0"/>
        <v>0</v>
      </c>
      <c r="F15" s="38">
        <f t="shared" si="1"/>
        <v>0</v>
      </c>
      <c r="G15" s="38">
        <f>D15 * 0.9805824</f>
        <v>0</v>
      </c>
      <c r="H15" s="38">
        <f t="shared" si="2"/>
        <v>0</v>
      </c>
      <c r="I15" s="39" t="s">
        <v>540</v>
      </c>
      <c r="J15" s="39" t="s">
        <v>512</v>
      </c>
    </row>
    <row r="16" spans="1:21" ht="17" x14ac:dyDescent="0.2">
      <c r="A16" s="73"/>
      <c r="B16" s="36" t="s">
        <v>488</v>
      </c>
      <c r="C16" s="37" t="s">
        <v>496</v>
      </c>
      <c r="D16" s="64"/>
      <c r="E16" s="31">
        <f t="shared" si="0"/>
        <v>0</v>
      </c>
      <c r="F16" s="38">
        <f t="shared" si="1"/>
        <v>0</v>
      </c>
      <c r="G16" s="38">
        <f>D16 * 0.37997568</f>
        <v>0</v>
      </c>
      <c r="H16" s="38">
        <f t="shared" si="2"/>
        <v>0</v>
      </c>
      <c r="I16" s="39" t="s">
        <v>540</v>
      </c>
      <c r="J16" s="39" t="s">
        <v>512</v>
      </c>
    </row>
    <row r="17" spans="1:10" ht="17" x14ac:dyDescent="0.2">
      <c r="A17" s="73"/>
      <c r="B17" s="36" t="s">
        <v>513</v>
      </c>
      <c r="C17" s="37" t="s">
        <v>496</v>
      </c>
      <c r="D17" s="64"/>
      <c r="E17" s="31">
        <f t="shared" si="0"/>
        <v>0</v>
      </c>
      <c r="F17" s="38">
        <f t="shared" si="1"/>
        <v>0</v>
      </c>
      <c r="G17" s="38">
        <f>D17 * 0.0612864</f>
        <v>0</v>
      </c>
      <c r="H17" s="38">
        <f t="shared" si="2"/>
        <v>0</v>
      </c>
      <c r="I17" s="39" t="s">
        <v>540</v>
      </c>
      <c r="J17" s="39" t="s">
        <v>512</v>
      </c>
    </row>
    <row r="18" spans="1:10" ht="17" x14ac:dyDescent="0.2">
      <c r="A18" s="73"/>
      <c r="B18" s="36" t="s">
        <v>514</v>
      </c>
      <c r="C18" s="37" t="s">
        <v>496</v>
      </c>
      <c r="D18" s="64"/>
      <c r="E18" s="31">
        <f t="shared" si="0"/>
        <v>0</v>
      </c>
      <c r="F18" s="38">
        <f t="shared" si="1"/>
        <v>0</v>
      </c>
      <c r="G18" s="38">
        <f>D18 * 0.8580096</f>
        <v>0</v>
      </c>
      <c r="H18" s="38">
        <f t="shared" si="2"/>
        <v>0</v>
      </c>
      <c r="I18" s="39" t="s">
        <v>540</v>
      </c>
      <c r="J18" s="39" t="s">
        <v>512</v>
      </c>
    </row>
    <row r="19" spans="1:10" ht="17" x14ac:dyDescent="0.2">
      <c r="A19" s="73"/>
      <c r="B19" s="36" t="s">
        <v>491</v>
      </c>
      <c r="C19" s="37" t="s">
        <v>496</v>
      </c>
      <c r="D19" s="64"/>
      <c r="E19" s="31">
        <f t="shared" si="0"/>
        <v>0</v>
      </c>
      <c r="F19" s="38">
        <f t="shared" si="1"/>
        <v>0</v>
      </c>
      <c r="G19" s="38">
        <f>D19 * 0.4902912</f>
        <v>0</v>
      </c>
      <c r="H19" s="38">
        <f t="shared" si="2"/>
        <v>0</v>
      </c>
      <c r="I19" s="39" t="s">
        <v>540</v>
      </c>
      <c r="J19" s="39" t="s">
        <v>512</v>
      </c>
    </row>
    <row r="20" spans="1:10" ht="17" x14ac:dyDescent="0.2">
      <c r="A20" s="73"/>
      <c r="B20" s="36" t="s">
        <v>492</v>
      </c>
      <c r="C20" s="37" t="s">
        <v>496</v>
      </c>
      <c r="D20" s="64"/>
      <c r="E20" s="31">
        <f t="shared" si="0"/>
        <v>0</v>
      </c>
      <c r="F20" s="38">
        <f t="shared" si="1"/>
        <v>0</v>
      </c>
      <c r="G20" s="38">
        <f>D20 * 0.2451456</f>
        <v>0</v>
      </c>
      <c r="H20" s="38">
        <f t="shared" si="2"/>
        <v>0</v>
      </c>
      <c r="I20" s="39" t="s">
        <v>540</v>
      </c>
      <c r="J20" s="39" t="s">
        <v>512</v>
      </c>
    </row>
    <row r="21" spans="1:10" ht="17" x14ac:dyDescent="0.2">
      <c r="A21" s="73"/>
      <c r="B21" s="36" t="s">
        <v>493</v>
      </c>
      <c r="C21" s="37" t="s">
        <v>496</v>
      </c>
      <c r="D21" s="64"/>
      <c r="E21" s="31">
        <f t="shared" si="0"/>
        <v>0</v>
      </c>
      <c r="F21" s="38">
        <f t="shared" si="1"/>
        <v>0</v>
      </c>
      <c r="G21" s="38">
        <f>D21 * 0.153216</f>
        <v>0</v>
      </c>
      <c r="H21" s="38">
        <f t="shared" si="2"/>
        <v>0</v>
      </c>
      <c r="I21" s="39" t="s">
        <v>540</v>
      </c>
      <c r="J21" s="39" t="s">
        <v>512</v>
      </c>
    </row>
    <row r="22" spans="1:10" ht="17" x14ac:dyDescent="0.2">
      <c r="A22" s="73"/>
      <c r="B22" s="36" t="s">
        <v>515</v>
      </c>
      <c r="C22" s="37" t="s">
        <v>496</v>
      </c>
      <c r="D22" s="64"/>
      <c r="E22" s="31">
        <f t="shared" si="0"/>
        <v>0</v>
      </c>
      <c r="F22" s="38">
        <f t="shared" si="1"/>
        <v>0</v>
      </c>
      <c r="G22" s="38">
        <f>D22 * 0</f>
        <v>0</v>
      </c>
      <c r="H22" s="38">
        <f t="shared" si="2"/>
        <v>0</v>
      </c>
      <c r="I22" s="39" t="s">
        <v>540</v>
      </c>
      <c r="J22" s="39" t="s">
        <v>512</v>
      </c>
    </row>
    <row r="23" spans="1:10" ht="17" x14ac:dyDescent="0.2">
      <c r="A23" s="73" t="s">
        <v>516</v>
      </c>
      <c r="B23" s="36" t="s">
        <v>489</v>
      </c>
      <c r="C23" s="37" t="s">
        <v>496</v>
      </c>
      <c r="D23" s="64"/>
      <c r="E23" s="31">
        <f t="shared" si="0"/>
        <v>0</v>
      </c>
      <c r="F23" s="38">
        <f t="shared" si="1"/>
        <v>0</v>
      </c>
      <c r="G23" s="38">
        <f>D23 * 0.2317715551</f>
        <v>0</v>
      </c>
      <c r="H23" s="38">
        <f t="shared" si="2"/>
        <v>0</v>
      </c>
      <c r="I23" s="39" t="s">
        <v>540</v>
      </c>
      <c r="J23" s="39" t="s">
        <v>517</v>
      </c>
    </row>
    <row r="24" spans="1:10" ht="18" thickBot="1" x14ac:dyDescent="0.25">
      <c r="A24" s="73"/>
      <c r="B24" s="36" t="s">
        <v>490</v>
      </c>
      <c r="C24" s="37" t="s">
        <v>496</v>
      </c>
      <c r="D24" s="65"/>
      <c r="E24" s="40">
        <f t="shared" si="0"/>
        <v>0</v>
      </c>
      <c r="F24" s="41">
        <f t="shared" si="1"/>
        <v>0</v>
      </c>
      <c r="G24" s="41">
        <f>D24 * 0.6658154496</f>
        <v>0</v>
      </c>
      <c r="H24" s="41">
        <f t="shared" si="2"/>
        <v>0</v>
      </c>
      <c r="I24" s="39" t="s">
        <v>540</v>
      </c>
      <c r="J24" s="39" t="s">
        <v>517</v>
      </c>
    </row>
    <row r="25" spans="1:10" x14ac:dyDescent="0.2">
      <c r="B25" s="42"/>
      <c r="C25" s="42"/>
      <c r="D25" s="43" t="s">
        <v>518</v>
      </c>
      <c r="E25" s="44">
        <f>SUM(E13:E24)</f>
        <v>0</v>
      </c>
      <c r="F25" s="45">
        <f>SUM(F13:F24)</f>
        <v>0</v>
      </c>
      <c r="G25" s="45">
        <f>SUM(G13:G24)</f>
        <v>0</v>
      </c>
      <c r="H25" s="45">
        <f>SUM(H13:H24)</f>
        <v>0</v>
      </c>
      <c r="I25" s="42"/>
      <c r="J25" s="42"/>
    </row>
    <row r="27" spans="1:10" ht="17" thickBot="1" x14ac:dyDescent="0.25">
      <c r="A27" s="83" t="s">
        <v>519</v>
      </c>
      <c r="B27" s="83"/>
      <c r="C27" s="83"/>
      <c r="D27" s="83"/>
      <c r="E27" s="83"/>
      <c r="F27" s="83"/>
      <c r="G27" s="83"/>
      <c r="H27" s="83"/>
      <c r="I27" s="83"/>
      <c r="J27" s="83"/>
    </row>
    <row r="28" spans="1:10" ht="17" thickBot="1" x14ac:dyDescent="0.25">
      <c r="A28" s="84" t="s">
        <v>508</v>
      </c>
      <c r="B28" s="85"/>
      <c r="C28" s="34" t="s">
        <v>486</v>
      </c>
      <c r="D28" s="35" t="s">
        <v>509</v>
      </c>
      <c r="E28" s="30" t="s">
        <v>503</v>
      </c>
      <c r="F28" s="30" t="s">
        <v>504</v>
      </c>
      <c r="G28" s="30" t="s">
        <v>505</v>
      </c>
      <c r="H28" s="30" t="s">
        <v>506</v>
      </c>
      <c r="I28" s="33" t="s">
        <v>510</v>
      </c>
      <c r="J28" s="33" t="s">
        <v>511</v>
      </c>
    </row>
    <row r="29" spans="1:10" ht="17" x14ac:dyDescent="0.2">
      <c r="A29" s="73" t="s">
        <v>485</v>
      </c>
      <c r="B29" s="36" t="s">
        <v>494</v>
      </c>
      <c r="C29" s="37" t="s">
        <v>496</v>
      </c>
      <c r="D29" s="63"/>
      <c r="E29" s="31">
        <f t="shared" ref="E29:E40" si="3">F29 + G29 + H29</f>
        <v>0</v>
      </c>
      <c r="F29" s="38">
        <f t="shared" ref="F29:F40" si="4">D29 * 0</f>
        <v>0</v>
      </c>
      <c r="G29" s="38">
        <f>D29 * 2.10672</f>
        <v>0</v>
      </c>
      <c r="H29" s="38">
        <f t="shared" ref="H29:H40" si="5">D29 * 0</f>
        <v>0</v>
      </c>
      <c r="I29" s="39" t="s">
        <v>540</v>
      </c>
      <c r="J29" s="39" t="s">
        <v>512</v>
      </c>
    </row>
    <row r="30" spans="1:10" ht="17" x14ac:dyDescent="0.2">
      <c r="A30" s="73"/>
      <c r="B30" s="36" t="s">
        <v>495</v>
      </c>
      <c r="C30" s="37" t="s">
        <v>496</v>
      </c>
      <c r="D30" s="64"/>
      <c r="E30" s="31">
        <f t="shared" si="3"/>
        <v>0</v>
      </c>
      <c r="F30" s="38">
        <f t="shared" si="4"/>
        <v>0</v>
      </c>
      <c r="G30" s="38">
        <f>D30 * 1.72368</f>
        <v>0</v>
      </c>
      <c r="H30" s="38">
        <f t="shared" si="5"/>
        <v>0</v>
      </c>
      <c r="I30" s="39" t="s">
        <v>540</v>
      </c>
      <c r="J30" s="39" t="s">
        <v>512</v>
      </c>
    </row>
    <row r="31" spans="1:10" ht="17" x14ac:dyDescent="0.2">
      <c r="A31" s="73"/>
      <c r="B31" s="36" t="s">
        <v>487</v>
      </c>
      <c r="C31" s="37" t="s">
        <v>496</v>
      </c>
      <c r="D31" s="64"/>
      <c r="E31" s="31">
        <f t="shared" si="3"/>
        <v>0</v>
      </c>
      <c r="F31" s="38">
        <f t="shared" si="4"/>
        <v>0</v>
      </c>
      <c r="G31" s="38">
        <f>D31 * 3.06432</f>
        <v>0</v>
      </c>
      <c r="H31" s="38">
        <f t="shared" si="5"/>
        <v>0</v>
      </c>
      <c r="I31" s="39" t="s">
        <v>540</v>
      </c>
      <c r="J31" s="39" t="s">
        <v>512</v>
      </c>
    </row>
    <row r="32" spans="1:10" ht="17" x14ac:dyDescent="0.2">
      <c r="A32" s="73"/>
      <c r="B32" s="36" t="s">
        <v>488</v>
      </c>
      <c r="C32" s="37" t="s">
        <v>496</v>
      </c>
      <c r="D32" s="64"/>
      <c r="E32" s="31">
        <f t="shared" si="3"/>
        <v>0</v>
      </c>
      <c r="F32" s="38">
        <f t="shared" si="4"/>
        <v>0</v>
      </c>
      <c r="G32" s="38">
        <f>D32 * 1.187424</f>
        <v>0</v>
      </c>
      <c r="H32" s="38">
        <f t="shared" si="5"/>
        <v>0</v>
      </c>
      <c r="I32" s="39" t="s">
        <v>540</v>
      </c>
      <c r="J32" s="39" t="s">
        <v>512</v>
      </c>
    </row>
    <row r="33" spans="1:10" ht="17" x14ac:dyDescent="0.2">
      <c r="A33" s="73"/>
      <c r="B33" s="36" t="s">
        <v>513</v>
      </c>
      <c r="C33" s="37" t="s">
        <v>496</v>
      </c>
      <c r="D33" s="64"/>
      <c r="E33" s="31">
        <f t="shared" si="3"/>
        <v>0</v>
      </c>
      <c r="F33" s="38">
        <f t="shared" si="4"/>
        <v>0</v>
      </c>
      <c r="G33" s="38">
        <f>D33 * 0.19152</f>
        <v>0</v>
      </c>
      <c r="H33" s="38">
        <f t="shared" si="5"/>
        <v>0</v>
      </c>
      <c r="I33" s="39" t="s">
        <v>540</v>
      </c>
      <c r="J33" s="39" t="s">
        <v>512</v>
      </c>
    </row>
    <row r="34" spans="1:10" ht="17" x14ac:dyDescent="0.2">
      <c r="A34" s="73"/>
      <c r="B34" s="36" t="s">
        <v>514</v>
      </c>
      <c r="C34" s="37" t="s">
        <v>496</v>
      </c>
      <c r="D34" s="64"/>
      <c r="E34" s="31">
        <f t="shared" si="3"/>
        <v>0</v>
      </c>
      <c r="F34" s="38">
        <f t="shared" si="4"/>
        <v>0</v>
      </c>
      <c r="G34" s="38">
        <f>D34 * 2.68128</f>
        <v>0</v>
      </c>
      <c r="H34" s="38">
        <f t="shared" si="5"/>
        <v>0</v>
      </c>
      <c r="I34" s="39" t="s">
        <v>540</v>
      </c>
      <c r="J34" s="39" t="s">
        <v>512</v>
      </c>
    </row>
    <row r="35" spans="1:10" ht="17" x14ac:dyDescent="0.2">
      <c r="A35" s="73"/>
      <c r="B35" s="36" t="s">
        <v>491</v>
      </c>
      <c r="C35" s="37" t="s">
        <v>496</v>
      </c>
      <c r="D35" s="64"/>
      <c r="E35" s="31">
        <f t="shared" si="3"/>
        <v>0</v>
      </c>
      <c r="F35" s="38">
        <f t="shared" si="4"/>
        <v>0</v>
      </c>
      <c r="G35" s="38">
        <f>D35 * 1.53216</f>
        <v>0</v>
      </c>
      <c r="H35" s="38">
        <f t="shared" si="5"/>
        <v>0</v>
      </c>
      <c r="I35" s="39" t="s">
        <v>540</v>
      </c>
      <c r="J35" s="39" t="s">
        <v>512</v>
      </c>
    </row>
    <row r="36" spans="1:10" ht="17" x14ac:dyDescent="0.2">
      <c r="A36" s="73"/>
      <c r="B36" s="36" t="s">
        <v>492</v>
      </c>
      <c r="C36" s="37" t="s">
        <v>496</v>
      </c>
      <c r="D36" s="64"/>
      <c r="E36" s="31">
        <f t="shared" si="3"/>
        <v>0</v>
      </c>
      <c r="F36" s="38">
        <f t="shared" si="4"/>
        <v>0</v>
      </c>
      <c r="G36" s="38">
        <f>D36 * 0.76608</f>
        <v>0</v>
      </c>
      <c r="H36" s="38">
        <f t="shared" si="5"/>
        <v>0</v>
      </c>
      <c r="I36" s="39" t="s">
        <v>540</v>
      </c>
      <c r="J36" s="39" t="s">
        <v>512</v>
      </c>
    </row>
    <row r="37" spans="1:10" ht="17" x14ac:dyDescent="0.2">
      <c r="A37" s="73"/>
      <c r="B37" s="36" t="s">
        <v>493</v>
      </c>
      <c r="C37" s="37" t="s">
        <v>496</v>
      </c>
      <c r="D37" s="64"/>
      <c r="E37" s="31">
        <f t="shared" si="3"/>
        <v>0</v>
      </c>
      <c r="F37" s="38">
        <f t="shared" si="4"/>
        <v>0</v>
      </c>
      <c r="G37" s="38">
        <f>D37 * 0.4788</f>
        <v>0</v>
      </c>
      <c r="H37" s="38">
        <f t="shared" si="5"/>
        <v>0</v>
      </c>
      <c r="I37" s="39" t="s">
        <v>540</v>
      </c>
      <c r="J37" s="39" t="s">
        <v>512</v>
      </c>
    </row>
    <row r="38" spans="1:10" ht="17" x14ac:dyDescent="0.2">
      <c r="A38" s="73"/>
      <c r="B38" s="36" t="s">
        <v>515</v>
      </c>
      <c r="C38" s="37" t="s">
        <v>496</v>
      </c>
      <c r="D38" s="64"/>
      <c r="E38" s="31">
        <f t="shared" si="3"/>
        <v>0</v>
      </c>
      <c r="F38" s="38">
        <f t="shared" si="4"/>
        <v>0</v>
      </c>
      <c r="G38" s="38">
        <f>D38 * 0</f>
        <v>0</v>
      </c>
      <c r="H38" s="38">
        <f t="shared" si="5"/>
        <v>0</v>
      </c>
      <c r="I38" s="39" t="s">
        <v>540</v>
      </c>
      <c r="J38" s="39" t="s">
        <v>512</v>
      </c>
    </row>
    <row r="39" spans="1:10" ht="17" x14ac:dyDescent="0.2">
      <c r="A39" s="73" t="s">
        <v>516</v>
      </c>
      <c r="B39" s="36" t="s">
        <v>489</v>
      </c>
      <c r="C39" s="37" t="s">
        <v>496</v>
      </c>
      <c r="D39" s="64"/>
      <c r="E39" s="31">
        <f t="shared" si="3"/>
        <v>0</v>
      </c>
      <c r="F39" s="38">
        <f t="shared" si="4"/>
        <v>0</v>
      </c>
      <c r="G39" s="38">
        <f>D39 * 0.7242861097</f>
        <v>0</v>
      </c>
      <c r="H39" s="38">
        <f t="shared" si="5"/>
        <v>0</v>
      </c>
      <c r="I39" s="39" t="s">
        <v>540</v>
      </c>
      <c r="J39" s="39" t="s">
        <v>517</v>
      </c>
    </row>
    <row r="40" spans="1:10" ht="18" thickBot="1" x14ac:dyDescent="0.25">
      <c r="A40" s="73"/>
      <c r="B40" s="36" t="s">
        <v>490</v>
      </c>
      <c r="C40" s="37" t="s">
        <v>496</v>
      </c>
      <c r="D40" s="65"/>
      <c r="E40" s="40">
        <f t="shared" si="3"/>
        <v>0</v>
      </c>
      <c r="F40" s="41">
        <f t="shared" si="4"/>
        <v>0</v>
      </c>
      <c r="G40" s="41">
        <f>D40 * 2.08067328</f>
        <v>0</v>
      </c>
      <c r="H40" s="41">
        <f t="shared" si="5"/>
        <v>0</v>
      </c>
      <c r="I40" s="39" t="s">
        <v>540</v>
      </c>
      <c r="J40" s="39" t="s">
        <v>517</v>
      </c>
    </row>
    <row r="41" spans="1:10" x14ac:dyDescent="0.2">
      <c r="B41" s="42"/>
      <c r="C41" s="42"/>
      <c r="D41" s="43" t="s">
        <v>518</v>
      </c>
      <c r="E41" s="44">
        <f>SUM(E29:E40)</f>
        <v>0</v>
      </c>
      <c r="F41" s="45">
        <f>SUM(F29:F40)</f>
        <v>0</v>
      </c>
      <c r="G41" s="45">
        <f>SUM(G29:G40)</f>
        <v>0</v>
      </c>
      <c r="H41" s="45">
        <f>SUM(H29:H40)</f>
        <v>0</v>
      </c>
      <c r="I41" s="42"/>
      <c r="J41" s="42"/>
    </row>
    <row r="43" spans="1:10" ht="17" thickBot="1" x14ac:dyDescent="0.25">
      <c r="A43" s="83" t="s">
        <v>520</v>
      </c>
      <c r="B43" s="83"/>
      <c r="C43" s="83"/>
      <c r="D43" s="83"/>
      <c r="E43" s="83"/>
      <c r="F43" s="83"/>
      <c r="G43" s="83"/>
      <c r="H43" s="83"/>
      <c r="I43" s="83"/>
      <c r="J43" s="83"/>
    </row>
    <row r="44" spans="1:10" ht="17" thickBot="1" x14ac:dyDescent="0.25">
      <c r="A44" s="84" t="s">
        <v>508</v>
      </c>
      <c r="B44" s="85"/>
      <c r="C44" s="34" t="s">
        <v>486</v>
      </c>
      <c r="D44" s="46" t="s">
        <v>509</v>
      </c>
      <c r="E44" s="30" t="s">
        <v>503</v>
      </c>
      <c r="F44" s="30" t="s">
        <v>504</v>
      </c>
      <c r="G44" s="30" t="s">
        <v>505</v>
      </c>
      <c r="H44" s="30" t="s">
        <v>506</v>
      </c>
      <c r="I44" s="33" t="s">
        <v>510</v>
      </c>
      <c r="J44" s="33" t="s">
        <v>511</v>
      </c>
    </row>
    <row r="45" spans="1:10" x14ac:dyDescent="0.2">
      <c r="A45" s="73" t="s">
        <v>521</v>
      </c>
      <c r="B45" s="36" t="s">
        <v>522</v>
      </c>
      <c r="C45" s="37" t="s">
        <v>496</v>
      </c>
      <c r="D45" s="66"/>
      <c r="E45" s="31">
        <f>F45 + G45 + H45</f>
        <v>0</v>
      </c>
      <c r="F45" s="38">
        <f>D45 * 0</f>
        <v>0</v>
      </c>
      <c r="G45" s="38">
        <f>D45 * 0.112</f>
        <v>0</v>
      </c>
      <c r="H45" s="38">
        <f>D45 * 0.0636</f>
        <v>0</v>
      </c>
      <c r="I45" s="39" t="s">
        <v>523</v>
      </c>
      <c r="J45" s="39" t="s">
        <v>524</v>
      </c>
    </row>
    <row r="46" spans="1:10" ht="17" thickBot="1" x14ac:dyDescent="0.25">
      <c r="A46" s="73"/>
      <c r="B46" s="36" t="s">
        <v>525</v>
      </c>
      <c r="C46" s="37" t="s">
        <v>526</v>
      </c>
      <c r="D46" s="65"/>
      <c r="E46" s="40">
        <f>F46 + G46 + H46</f>
        <v>0</v>
      </c>
      <c r="F46" s="41">
        <f>D46 * 0</f>
        <v>0</v>
      </c>
      <c r="G46" s="41">
        <f>D46 * 0.0224</f>
        <v>0</v>
      </c>
      <c r="H46" s="41">
        <f>D46 * 0</f>
        <v>0</v>
      </c>
      <c r="I46" s="39" t="s">
        <v>527</v>
      </c>
      <c r="J46" s="39" t="s">
        <v>528</v>
      </c>
    </row>
    <row r="47" spans="1:10" x14ac:dyDescent="0.2">
      <c r="B47" s="42"/>
      <c r="C47" s="42"/>
      <c r="D47" s="43" t="s">
        <v>518</v>
      </c>
      <c r="E47" s="44">
        <f>SUM(E45:E46)</f>
        <v>0</v>
      </c>
      <c r="F47" s="45">
        <f>SUM(F45:F46)</f>
        <v>0</v>
      </c>
      <c r="G47" s="45">
        <f>SUM(G45:G46)</f>
        <v>0</v>
      </c>
      <c r="H47" s="45">
        <f>SUM(H45:H46)</f>
        <v>0</v>
      </c>
      <c r="I47" s="42"/>
      <c r="J47" s="42"/>
    </row>
    <row r="49" spans="1:10" ht="17" thickBot="1" x14ac:dyDescent="0.25">
      <c r="A49" s="83" t="s">
        <v>529</v>
      </c>
      <c r="B49" s="83"/>
      <c r="C49" s="83"/>
      <c r="D49" s="83"/>
      <c r="E49" s="83"/>
      <c r="F49" s="83"/>
      <c r="G49" s="83"/>
      <c r="H49" s="83"/>
      <c r="I49" s="83"/>
      <c r="J49" s="83"/>
    </row>
    <row r="50" spans="1:10" ht="17" thickBot="1" x14ac:dyDescent="0.25">
      <c r="A50" s="84" t="s">
        <v>508</v>
      </c>
      <c r="B50" s="85"/>
      <c r="C50" s="34" t="s">
        <v>486</v>
      </c>
      <c r="D50" s="46" t="s">
        <v>509</v>
      </c>
      <c r="E50" s="30" t="s">
        <v>503</v>
      </c>
      <c r="F50" s="30" t="s">
        <v>504</v>
      </c>
      <c r="G50" s="30" t="s">
        <v>505</v>
      </c>
      <c r="H50" s="30" t="s">
        <v>506</v>
      </c>
      <c r="I50" s="33" t="s">
        <v>510</v>
      </c>
      <c r="J50" s="33" t="s">
        <v>511</v>
      </c>
    </row>
    <row r="51" spans="1:10" ht="17" x14ac:dyDescent="0.2">
      <c r="A51" s="73" t="s">
        <v>485</v>
      </c>
      <c r="B51" s="36" t="s">
        <v>530</v>
      </c>
      <c r="C51" s="37" t="s">
        <v>496</v>
      </c>
      <c r="D51" s="66"/>
      <c r="E51" s="31">
        <f t="shared" ref="E51:E59" si="6">F51 + G51 + H51</f>
        <v>0</v>
      </c>
      <c r="F51" s="38">
        <f t="shared" ref="F51:F59" si="7">D51 * 0</f>
        <v>0</v>
      </c>
      <c r="G51" s="38">
        <f>D51 * 0.196</f>
        <v>0</v>
      </c>
      <c r="H51" s="38">
        <f t="shared" ref="H51:H59" si="8">D51 * 0</f>
        <v>0</v>
      </c>
      <c r="I51" s="39" t="s">
        <v>540</v>
      </c>
      <c r="J51" s="39" t="s">
        <v>528</v>
      </c>
    </row>
    <row r="52" spans="1:10" ht="17" x14ac:dyDescent="0.2">
      <c r="A52" s="73"/>
      <c r="B52" s="36" t="s">
        <v>531</v>
      </c>
      <c r="C52" s="37" t="s">
        <v>496</v>
      </c>
      <c r="D52" s="64"/>
      <c r="E52" s="31">
        <f t="shared" si="6"/>
        <v>0</v>
      </c>
      <c r="F52" s="38">
        <f t="shared" si="7"/>
        <v>0</v>
      </c>
      <c r="G52" s="38">
        <f>D52 * 0.1568</f>
        <v>0</v>
      </c>
      <c r="H52" s="38">
        <f t="shared" si="8"/>
        <v>0</v>
      </c>
      <c r="I52" s="39" t="s">
        <v>540</v>
      </c>
      <c r="J52" s="39" t="s">
        <v>528</v>
      </c>
    </row>
    <row r="53" spans="1:10" ht="17" x14ac:dyDescent="0.2">
      <c r="A53" s="73"/>
      <c r="B53" s="36" t="s">
        <v>532</v>
      </c>
      <c r="C53" s="37" t="s">
        <v>496</v>
      </c>
      <c r="D53" s="64"/>
      <c r="E53" s="31">
        <f t="shared" si="6"/>
        <v>0</v>
      </c>
      <c r="F53" s="38">
        <f t="shared" si="7"/>
        <v>0</v>
      </c>
      <c r="G53" s="38">
        <f>D53 * 1.0976</f>
        <v>0</v>
      </c>
      <c r="H53" s="38">
        <f t="shared" si="8"/>
        <v>0</v>
      </c>
      <c r="I53" s="39" t="s">
        <v>540</v>
      </c>
      <c r="J53" s="39" t="s">
        <v>528</v>
      </c>
    </row>
    <row r="54" spans="1:10" ht="17" x14ac:dyDescent="0.2">
      <c r="A54" s="73"/>
      <c r="B54" s="36" t="s">
        <v>533</v>
      </c>
      <c r="C54" s="37" t="s">
        <v>496</v>
      </c>
      <c r="D54" s="64"/>
      <c r="E54" s="31">
        <f t="shared" si="6"/>
        <v>0</v>
      </c>
      <c r="F54" s="38">
        <f t="shared" si="7"/>
        <v>0</v>
      </c>
      <c r="G54" s="38">
        <f>D54 * 0.588</f>
        <v>0</v>
      </c>
      <c r="H54" s="38">
        <f t="shared" si="8"/>
        <v>0</v>
      </c>
      <c r="I54" s="39" t="s">
        <v>540</v>
      </c>
      <c r="J54" s="39" t="s">
        <v>528</v>
      </c>
    </row>
    <row r="55" spans="1:10" ht="17" x14ac:dyDescent="0.2">
      <c r="A55" s="73"/>
      <c r="B55" s="36" t="s">
        <v>534</v>
      </c>
      <c r="C55" s="37" t="s">
        <v>496</v>
      </c>
      <c r="D55" s="64"/>
      <c r="E55" s="31">
        <f t="shared" si="6"/>
        <v>0</v>
      </c>
      <c r="F55" s="38">
        <f t="shared" si="7"/>
        <v>0</v>
      </c>
      <c r="G55" s="38">
        <f>D55 * 0.784</f>
        <v>0</v>
      </c>
      <c r="H55" s="38">
        <f t="shared" si="8"/>
        <v>0</v>
      </c>
      <c r="I55" s="39" t="s">
        <v>540</v>
      </c>
      <c r="J55" s="39" t="s">
        <v>528</v>
      </c>
    </row>
    <row r="56" spans="1:10" ht="17" x14ac:dyDescent="0.2">
      <c r="A56" s="73"/>
      <c r="B56" s="36" t="s">
        <v>535</v>
      </c>
      <c r="C56" s="37" t="s">
        <v>496</v>
      </c>
      <c r="D56" s="64"/>
      <c r="E56" s="31">
        <f t="shared" si="6"/>
        <v>0</v>
      </c>
      <c r="F56" s="38">
        <f t="shared" si="7"/>
        <v>0</v>
      </c>
      <c r="G56" s="38">
        <f>D56 * 0.588</f>
        <v>0</v>
      </c>
      <c r="H56" s="38">
        <f t="shared" si="8"/>
        <v>0</v>
      </c>
      <c r="I56" s="39" t="s">
        <v>540</v>
      </c>
      <c r="J56" s="39" t="s">
        <v>528</v>
      </c>
    </row>
    <row r="57" spans="1:10" ht="17" x14ac:dyDescent="0.2">
      <c r="A57" s="73"/>
      <c r="B57" s="36" t="s">
        <v>536</v>
      </c>
      <c r="C57" s="37" t="s">
        <v>496</v>
      </c>
      <c r="D57" s="64"/>
      <c r="E57" s="31">
        <f t="shared" si="6"/>
        <v>0</v>
      </c>
      <c r="F57" s="38">
        <f t="shared" si="7"/>
        <v>0</v>
      </c>
      <c r="G57" s="38">
        <f>D57 * 1.3328</f>
        <v>0</v>
      </c>
      <c r="H57" s="38">
        <f t="shared" si="8"/>
        <v>0</v>
      </c>
      <c r="I57" s="39" t="s">
        <v>540</v>
      </c>
      <c r="J57" s="39" t="s">
        <v>528</v>
      </c>
    </row>
    <row r="58" spans="1:10" ht="17" x14ac:dyDescent="0.2">
      <c r="A58" s="73"/>
      <c r="B58" s="36" t="s">
        <v>537</v>
      </c>
      <c r="C58" s="37" t="s">
        <v>496</v>
      </c>
      <c r="D58" s="64"/>
      <c r="E58" s="31">
        <f t="shared" si="6"/>
        <v>0</v>
      </c>
      <c r="F58" s="38">
        <f t="shared" si="7"/>
        <v>0</v>
      </c>
      <c r="G58" s="38">
        <f>D58 * 0</f>
        <v>0</v>
      </c>
      <c r="H58" s="38">
        <f t="shared" si="8"/>
        <v>0</v>
      </c>
      <c r="I58" s="39" t="s">
        <v>540</v>
      </c>
      <c r="J58" s="39" t="s">
        <v>528</v>
      </c>
    </row>
    <row r="59" spans="1:10" ht="18" thickBot="1" x14ac:dyDescent="0.25">
      <c r="A59" s="73"/>
      <c r="B59" s="36" t="s">
        <v>538</v>
      </c>
      <c r="C59" s="37" t="s">
        <v>496</v>
      </c>
      <c r="D59" s="65"/>
      <c r="E59" s="31">
        <f t="shared" si="6"/>
        <v>0</v>
      </c>
      <c r="F59" s="38">
        <f t="shared" si="7"/>
        <v>0</v>
      </c>
      <c r="G59" s="38">
        <f>D59 * 0.1970394997</f>
        <v>0</v>
      </c>
      <c r="H59" s="38">
        <f t="shared" si="8"/>
        <v>0</v>
      </c>
      <c r="I59" s="39" t="s">
        <v>540</v>
      </c>
      <c r="J59" s="39" t="s">
        <v>528</v>
      </c>
    </row>
    <row r="60" spans="1:10" x14ac:dyDescent="0.2">
      <c r="D60" s="47" t="s">
        <v>518</v>
      </c>
      <c r="E60" s="44">
        <f>SUM(E51:E59)</f>
        <v>0</v>
      </c>
      <c r="F60" s="45">
        <f>SUM(F51:F59)</f>
        <v>0</v>
      </c>
      <c r="G60" s="45">
        <f>SUM(G51:G59)</f>
        <v>0</v>
      </c>
      <c r="H60" s="45">
        <f>SUM(H51:H59)</f>
        <v>0</v>
      </c>
    </row>
  </sheetData>
  <sheetProtection algorithmName="SHA-512" hashValue="XSNGdmPGLSbyMBxNpYQoQtRwUpr5C6o7bIne4hTzjbuR97mN+aEgvayo9Ja16k0RhPPaYPkyewJIQG8IY+BWMA==" saltValue="I1UKIp8VCAatC6boW02V/w==" spinCount="100000" sheet="1" objects="1" scenarios="1" selectLockedCells="1"/>
  <mergeCells count="19">
    <mergeCell ref="A51:A59"/>
    <mergeCell ref="A39:A40"/>
    <mergeCell ref="A43:J43"/>
    <mergeCell ref="A44:B44"/>
    <mergeCell ref="A45:A46"/>
    <mergeCell ref="A49:J49"/>
    <mergeCell ref="A50:B50"/>
    <mergeCell ref="A29:A38"/>
    <mergeCell ref="A2:U2"/>
    <mergeCell ref="A5:J5"/>
    <mergeCell ref="A6:J6"/>
    <mergeCell ref="A8:B9"/>
    <mergeCell ref="C8:C9"/>
    <mergeCell ref="A11:J11"/>
    <mergeCell ref="A12:B12"/>
    <mergeCell ref="A13:A22"/>
    <mergeCell ref="A23:A24"/>
    <mergeCell ref="A27:J27"/>
    <mergeCell ref="A28:B28"/>
  </mergeCell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527AB-3DEA-3945-8FC2-714B2ECF912C}">
  <sheetPr>
    <tabColor rgb="FF00B0F0"/>
  </sheetPr>
  <dimension ref="A1:R65"/>
  <sheetViews>
    <sheetView showGridLines="0" topLeftCell="A2" workbookViewId="0">
      <selection activeCell="F73" sqref="F73"/>
    </sheetView>
  </sheetViews>
  <sheetFormatPr baseColWidth="10" defaultColWidth="8.83203125" defaultRowHeight="15" x14ac:dyDescent="0.2"/>
  <cols>
    <col min="1" max="1" width="24.6640625" style="49" customWidth="1"/>
    <col min="2" max="16384" width="8.83203125" style="49"/>
  </cols>
  <sheetData>
    <row r="1" spans="1:15" ht="31" x14ac:dyDescent="0.35">
      <c r="A1" s="48" t="s">
        <v>541</v>
      </c>
      <c r="B1" s="48"/>
      <c r="C1" s="48"/>
      <c r="D1" s="48"/>
      <c r="E1" s="48"/>
      <c r="F1" s="48"/>
      <c r="G1" s="48"/>
      <c r="H1" s="48"/>
      <c r="I1" s="48"/>
      <c r="J1" s="48"/>
      <c r="K1" s="48"/>
      <c r="L1" s="48"/>
      <c r="M1" s="48"/>
    </row>
    <row r="2" spans="1:15" ht="24" x14ac:dyDescent="0.3">
      <c r="A2" s="50"/>
    </row>
    <row r="3" spans="1:15" s="52" customFormat="1" ht="26" x14ac:dyDescent="0.3">
      <c r="A3" s="51" t="s">
        <v>542</v>
      </c>
      <c r="B3" s="51"/>
      <c r="C3" s="51"/>
      <c r="D3" s="51"/>
      <c r="E3" s="51"/>
      <c r="F3" s="51"/>
      <c r="G3" s="51"/>
      <c r="H3" s="51"/>
      <c r="I3" s="51"/>
      <c r="J3" s="51"/>
      <c r="K3" s="51"/>
      <c r="L3" s="51"/>
      <c r="M3" s="51"/>
    </row>
    <row r="5" spans="1:15" s="55" customFormat="1" ht="16" x14ac:dyDescent="0.2">
      <c r="A5" s="89" t="s">
        <v>543</v>
      </c>
      <c r="B5" s="89"/>
      <c r="C5" s="89"/>
      <c r="D5" s="89"/>
      <c r="E5" s="89"/>
      <c r="F5" s="89"/>
      <c r="G5" s="89"/>
      <c r="H5" s="89"/>
      <c r="I5" s="89"/>
      <c r="J5" s="89"/>
      <c r="K5" s="89"/>
      <c r="L5" s="89"/>
      <c r="M5" s="89"/>
      <c r="N5" s="89"/>
      <c r="O5" s="90"/>
    </row>
    <row r="6" spans="1:15" s="55" customFormat="1" ht="16" x14ac:dyDescent="0.2">
      <c r="A6" s="91" t="s">
        <v>544</v>
      </c>
      <c r="B6" s="91"/>
      <c r="C6" s="91"/>
      <c r="D6" s="91"/>
      <c r="E6" s="91"/>
      <c r="F6" s="91"/>
      <c r="G6" s="91"/>
      <c r="H6" s="91"/>
      <c r="I6" s="91"/>
      <c r="J6" s="91"/>
      <c r="K6" s="91"/>
      <c r="L6" s="91"/>
      <c r="M6" s="91"/>
      <c r="N6" s="91"/>
      <c r="O6" s="91"/>
    </row>
    <row r="7" spans="1:15" s="55" customFormat="1" ht="17" thickBot="1" x14ac:dyDescent="0.25">
      <c r="A7" s="89" t="s">
        <v>545</v>
      </c>
      <c r="B7" s="89"/>
      <c r="C7" s="89"/>
      <c r="D7" s="89"/>
      <c r="E7" s="89"/>
      <c r="F7" s="89"/>
      <c r="G7" s="89"/>
      <c r="H7" s="89"/>
      <c r="I7" s="89"/>
      <c r="J7" s="89"/>
      <c r="K7" s="89"/>
      <c r="L7" s="89"/>
      <c r="M7" s="89"/>
      <c r="N7" s="89"/>
      <c r="O7" s="89"/>
    </row>
    <row r="8" spans="1:15" s="55" customFormat="1" ht="17" thickBot="1" x14ac:dyDescent="0.25">
      <c r="A8" s="56" t="s">
        <v>502</v>
      </c>
      <c r="B8" s="92" t="s">
        <v>546</v>
      </c>
      <c r="C8" s="92"/>
      <c r="D8" s="92"/>
      <c r="E8" s="92"/>
      <c r="F8" s="92"/>
      <c r="G8" s="92"/>
      <c r="H8" s="92"/>
      <c r="I8" s="92"/>
      <c r="J8" s="92"/>
      <c r="K8" s="92"/>
      <c r="L8" s="92"/>
      <c r="M8" s="92"/>
      <c r="N8" s="92"/>
      <c r="O8" s="92"/>
    </row>
    <row r="9" spans="1:15" s="55" customFormat="1" ht="16" x14ac:dyDescent="0.2">
      <c r="A9" s="57" t="s">
        <v>502</v>
      </c>
      <c r="B9" s="92" t="s">
        <v>547</v>
      </c>
      <c r="C9" s="92"/>
      <c r="D9" s="92"/>
      <c r="E9" s="92"/>
      <c r="F9" s="92"/>
      <c r="G9" s="92"/>
      <c r="H9" s="92"/>
      <c r="I9" s="92"/>
      <c r="J9" s="92"/>
      <c r="K9" s="92"/>
      <c r="L9" s="92"/>
      <c r="M9" s="92"/>
      <c r="N9" s="92"/>
      <c r="O9" s="92"/>
    </row>
    <row r="10" spans="1:15" s="55" customFormat="1" ht="16" x14ac:dyDescent="0.2">
      <c r="A10" s="89" t="s">
        <v>557</v>
      </c>
      <c r="B10" s="89"/>
      <c r="C10" s="89"/>
      <c r="D10" s="89"/>
      <c r="E10" s="89"/>
      <c r="F10" s="89"/>
      <c r="G10" s="89"/>
      <c r="H10" s="89"/>
      <c r="I10" s="89"/>
      <c r="J10" s="89"/>
      <c r="K10" s="89"/>
      <c r="L10" s="89"/>
      <c r="M10" s="89"/>
      <c r="N10" s="89"/>
      <c r="O10" s="89"/>
    </row>
    <row r="11" spans="1:15" s="55" customFormat="1" ht="16" x14ac:dyDescent="0.2">
      <c r="A11" s="91" t="s">
        <v>558</v>
      </c>
      <c r="B11" s="91"/>
      <c r="C11" s="91"/>
      <c r="D11" s="91"/>
      <c r="E11" s="91"/>
      <c r="F11" s="91"/>
      <c r="G11" s="91"/>
      <c r="H11" s="91"/>
      <c r="I11" s="91"/>
      <c r="J11" s="91"/>
      <c r="K11" s="91"/>
      <c r="L11" s="91"/>
      <c r="M11" s="91"/>
      <c r="N11" s="91"/>
      <c r="O11" s="91"/>
    </row>
    <row r="12" spans="1:15" s="55" customFormat="1" ht="16" x14ac:dyDescent="0.2"/>
    <row r="13" spans="1:15" s="55" customFormat="1" ht="16" x14ac:dyDescent="0.2">
      <c r="A13" s="89" t="s">
        <v>548</v>
      </c>
      <c r="B13" s="89"/>
      <c r="C13" s="89"/>
      <c r="D13" s="89"/>
      <c r="E13" s="89"/>
      <c r="F13" s="89"/>
      <c r="G13" s="89"/>
      <c r="H13" s="89"/>
      <c r="I13" s="89"/>
      <c r="J13" s="89"/>
      <c r="K13" s="89"/>
      <c r="L13" s="89"/>
      <c r="M13" s="89"/>
      <c r="N13" s="89"/>
      <c r="O13" s="89"/>
    </row>
    <row r="14" spans="1:15" s="55" customFormat="1" ht="16" x14ac:dyDescent="0.2">
      <c r="A14" s="91" t="s">
        <v>559</v>
      </c>
      <c r="B14" s="91"/>
      <c r="C14" s="91"/>
      <c r="D14" s="91"/>
      <c r="E14" s="91"/>
      <c r="F14" s="91"/>
      <c r="G14" s="91"/>
      <c r="H14" s="91"/>
      <c r="I14" s="91"/>
      <c r="J14" s="91"/>
      <c r="K14" s="91"/>
      <c r="L14" s="91"/>
      <c r="M14" s="91"/>
      <c r="N14" s="91"/>
      <c r="O14" s="91"/>
    </row>
    <row r="15" spans="1:15" s="55" customFormat="1" ht="18" x14ac:dyDescent="0.25">
      <c r="A15" s="58" t="s">
        <v>549</v>
      </c>
      <c r="B15" s="59" t="s">
        <v>560</v>
      </c>
      <c r="C15" s="59" t="s">
        <v>561</v>
      </c>
      <c r="D15" s="60" t="s">
        <v>562</v>
      </c>
    </row>
    <row r="16" spans="1:15" s="55" customFormat="1" ht="16" x14ac:dyDescent="0.2">
      <c r="A16" s="58" t="s">
        <v>548</v>
      </c>
      <c r="B16" s="59">
        <v>1</v>
      </c>
      <c r="C16" s="59">
        <v>25</v>
      </c>
      <c r="D16" s="61">
        <v>298</v>
      </c>
    </row>
    <row r="17" spans="1:15" s="55" customFormat="1" ht="16" x14ac:dyDescent="0.2"/>
    <row r="18" spans="1:15" s="55" customFormat="1" ht="16" x14ac:dyDescent="0.2">
      <c r="A18" s="93" t="s">
        <v>563</v>
      </c>
      <c r="B18" s="93"/>
      <c r="C18" s="93"/>
      <c r="D18" s="93"/>
      <c r="E18" s="93"/>
      <c r="F18" s="93"/>
      <c r="G18" s="93"/>
      <c r="H18" s="93"/>
      <c r="I18" s="93"/>
      <c r="J18" s="93"/>
      <c r="K18" s="93"/>
      <c r="L18" s="93"/>
      <c r="M18" s="93"/>
      <c r="N18" s="93"/>
      <c r="O18" s="93"/>
    </row>
    <row r="19" spans="1:15" x14ac:dyDescent="0.2">
      <c r="A19" s="54"/>
      <c r="B19" s="54"/>
      <c r="C19" s="54"/>
      <c r="D19" s="54"/>
      <c r="E19" s="54"/>
      <c r="F19" s="54"/>
      <c r="G19" s="54"/>
      <c r="H19" s="54"/>
      <c r="I19" s="54"/>
      <c r="J19" s="54"/>
      <c r="K19" s="54"/>
      <c r="L19" s="54"/>
      <c r="M19" s="54"/>
      <c r="N19" s="54"/>
      <c r="O19" s="54"/>
    </row>
    <row r="20" spans="1:15" x14ac:dyDescent="0.2">
      <c r="A20" s="54"/>
      <c r="B20" s="54"/>
      <c r="C20" s="54"/>
      <c r="D20" s="54"/>
      <c r="E20" s="54"/>
      <c r="F20" s="54"/>
      <c r="G20" s="54"/>
      <c r="H20" s="54"/>
      <c r="I20" s="54"/>
      <c r="J20" s="54"/>
      <c r="K20" s="54"/>
      <c r="L20" s="54"/>
      <c r="M20" s="54"/>
      <c r="N20" s="54"/>
      <c r="O20" s="54"/>
    </row>
    <row r="21" spans="1:15" x14ac:dyDescent="0.2">
      <c r="A21" s="54"/>
      <c r="B21" s="54"/>
      <c r="C21" s="54"/>
      <c r="D21" s="54"/>
      <c r="E21" s="54"/>
      <c r="F21" s="54"/>
      <c r="G21" s="54"/>
      <c r="H21" s="54"/>
      <c r="I21" s="54"/>
      <c r="J21" s="54"/>
      <c r="K21" s="54"/>
      <c r="L21" s="54"/>
      <c r="M21" s="54"/>
      <c r="N21" s="54"/>
      <c r="O21" s="54"/>
    </row>
    <row r="22" spans="1:15" x14ac:dyDescent="0.2">
      <c r="A22" s="54"/>
      <c r="B22" s="54"/>
      <c r="C22" s="54"/>
      <c r="D22" s="54"/>
      <c r="E22" s="54"/>
      <c r="F22" s="54"/>
      <c r="G22" s="54"/>
      <c r="H22" s="54"/>
      <c r="I22" s="54"/>
      <c r="J22" s="54"/>
      <c r="K22" s="54"/>
      <c r="L22" s="54"/>
      <c r="M22" s="54"/>
      <c r="N22" s="54"/>
      <c r="O22" s="54"/>
    </row>
    <row r="23" spans="1:15" x14ac:dyDescent="0.2">
      <c r="A23" s="54"/>
      <c r="B23" s="54"/>
      <c r="C23" s="54"/>
      <c r="D23" s="54"/>
      <c r="E23" s="54"/>
      <c r="F23" s="54"/>
      <c r="G23" s="54"/>
      <c r="H23" s="54"/>
      <c r="I23" s="54"/>
      <c r="J23" s="54"/>
      <c r="K23" s="54"/>
      <c r="L23" s="54"/>
      <c r="M23" s="54"/>
      <c r="N23" s="54"/>
      <c r="O23" s="54"/>
    </row>
    <row r="24" spans="1:15" x14ac:dyDescent="0.2">
      <c r="A24" s="54"/>
      <c r="B24" s="54"/>
      <c r="C24" s="54"/>
      <c r="D24" s="54"/>
      <c r="E24" s="54"/>
      <c r="F24" s="54"/>
      <c r="G24" s="54"/>
      <c r="H24" s="54"/>
      <c r="I24" s="54"/>
      <c r="J24" s="54"/>
      <c r="K24" s="54"/>
      <c r="L24" s="54"/>
      <c r="M24" s="54"/>
      <c r="N24" s="54"/>
      <c r="O24" s="54"/>
    </row>
    <row r="25" spans="1:15" x14ac:dyDescent="0.2">
      <c r="A25" s="54"/>
      <c r="B25" s="54"/>
      <c r="C25" s="54"/>
      <c r="D25" s="54"/>
      <c r="E25" s="54"/>
      <c r="F25" s="54"/>
      <c r="G25" s="54"/>
      <c r="H25" s="54"/>
      <c r="I25" s="54"/>
      <c r="J25" s="54"/>
      <c r="K25" s="54"/>
      <c r="L25" s="54"/>
      <c r="M25" s="54"/>
      <c r="N25" s="54"/>
      <c r="O25" s="54"/>
    </row>
    <row r="26" spans="1:15" x14ac:dyDescent="0.2">
      <c r="A26" s="54"/>
      <c r="B26" s="54"/>
      <c r="C26" s="54"/>
      <c r="D26" s="54"/>
      <c r="E26" s="54"/>
      <c r="F26" s="54"/>
      <c r="G26" s="54"/>
      <c r="H26" s="54"/>
      <c r="I26" s="54"/>
      <c r="J26" s="54"/>
      <c r="K26" s="54"/>
      <c r="L26" s="54"/>
      <c r="M26" s="54"/>
      <c r="N26" s="54"/>
      <c r="O26" s="54"/>
    </row>
    <row r="27" spans="1:15" x14ac:dyDescent="0.2">
      <c r="A27" s="54"/>
      <c r="B27" s="54"/>
      <c r="C27" s="54"/>
      <c r="D27" s="54"/>
      <c r="E27" s="54"/>
      <c r="F27" s="54"/>
      <c r="G27" s="54"/>
      <c r="H27" s="54"/>
      <c r="I27" s="54"/>
      <c r="J27" s="54"/>
      <c r="K27" s="54"/>
      <c r="L27" s="54"/>
      <c r="M27" s="54"/>
      <c r="N27" s="54"/>
      <c r="O27" s="54"/>
    </row>
    <row r="28" spans="1:15" x14ac:dyDescent="0.2">
      <c r="A28" s="54"/>
      <c r="B28" s="54"/>
      <c r="C28" s="54"/>
      <c r="D28" s="54"/>
      <c r="E28" s="54"/>
      <c r="F28" s="54"/>
      <c r="G28" s="54"/>
      <c r="H28" s="54"/>
      <c r="I28" s="54"/>
      <c r="J28" s="54"/>
      <c r="K28" s="54"/>
      <c r="L28" s="54"/>
      <c r="M28" s="54"/>
      <c r="N28" s="54"/>
      <c r="O28" s="54"/>
    </row>
    <row r="29" spans="1:15" x14ac:dyDescent="0.2">
      <c r="A29" s="54"/>
      <c r="B29" s="54"/>
      <c r="C29" s="54"/>
      <c r="D29" s="54"/>
      <c r="E29" s="54"/>
      <c r="F29" s="54"/>
      <c r="G29" s="54"/>
      <c r="H29" s="54"/>
      <c r="I29" s="54"/>
      <c r="J29" s="54"/>
      <c r="K29" s="54"/>
      <c r="L29" s="54"/>
      <c r="M29" s="54"/>
      <c r="N29" s="54"/>
      <c r="O29" s="54"/>
    </row>
    <row r="30" spans="1:15" x14ac:dyDescent="0.2">
      <c r="A30" s="54"/>
      <c r="B30" s="54"/>
      <c r="C30" s="54"/>
      <c r="D30" s="54"/>
      <c r="E30" s="54"/>
      <c r="F30" s="54"/>
      <c r="G30" s="54"/>
      <c r="H30" s="54"/>
      <c r="I30" s="54"/>
      <c r="J30" s="54"/>
      <c r="K30" s="54"/>
      <c r="L30" s="54"/>
      <c r="M30" s="54"/>
      <c r="N30" s="54"/>
      <c r="O30" s="54"/>
    </row>
    <row r="31" spans="1:15" x14ac:dyDescent="0.2">
      <c r="A31" s="54"/>
      <c r="B31" s="54"/>
      <c r="C31" s="54"/>
      <c r="D31" s="54"/>
      <c r="E31" s="54"/>
      <c r="F31" s="54"/>
      <c r="G31" s="54"/>
      <c r="H31" s="54"/>
      <c r="I31" s="54"/>
      <c r="J31" s="54"/>
      <c r="K31" s="54"/>
      <c r="L31" s="54"/>
      <c r="M31" s="54"/>
      <c r="N31" s="54"/>
      <c r="O31" s="54"/>
    </row>
    <row r="32" spans="1:15" x14ac:dyDescent="0.2">
      <c r="A32" s="54"/>
      <c r="B32" s="54"/>
      <c r="C32" s="54"/>
      <c r="D32" s="54"/>
      <c r="E32" s="54"/>
      <c r="F32" s="54"/>
      <c r="G32" s="54"/>
      <c r="H32" s="54"/>
      <c r="I32" s="54"/>
      <c r="J32" s="54"/>
      <c r="K32" s="54"/>
      <c r="L32" s="54"/>
      <c r="M32" s="54"/>
      <c r="N32" s="54"/>
      <c r="O32" s="54"/>
    </row>
    <row r="33" spans="1:15" x14ac:dyDescent="0.2">
      <c r="A33" s="54"/>
      <c r="B33" s="54"/>
      <c r="C33" s="54"/>
      <c r="D33" s="54"/>
      <c r="E33" s="54"/>
      <c r="F33" s="54"/>
      <c r="G33" s="54"/>
      <c r="H33" s="54"/>
      <c r="I33" s="54"/>
      <c r="J33" s="54"/>
      <c r="K33" s="54"/>
      <c r="L33" s="54"/>
      <c r="M33" s="54"/>
      <c r="N33" s="54"/>
      <c r="O33" s="54"/>
    </row>
    <row r="34" spans="1:15" x14ac:dyDescent="0.2">
      <c r="A34" s="54"/>
      <c r="B34" s="54"/>
      <c r="C34" s="54"/>
      <c r="D34" s="54"/>
      <c r="E34" s="54"/>
      <c r="F34" s="54"/>
      <c r="G34" s="54"/>
      <c r="H34" s="54"/>
      <c r="I34" s="54"/>
      <c r="J34" s="54"/>
      <c r="K34" s="54"/>
      <c r="L34" s="54"/>
      <c r="M34" s="54"/>
      <c r="N34" s="54"/>
      <c r="O34" s="54"/>
    </row>
    <row r="35" spans="1:15" x14ac:dyDescent="0.2">
      <c r="A35" s="54"/>
      <c r="B35" s="54"/>
      <c r="C35" s="54"/>
      <c r="D35" s="54"/>
      <c r="E35" s="54"/>
      <c r="F35" s="54"/>
      <c r="G35" s="54"/>
      <c r="H35" s="54"/>
      <c r="I35" s="54"/>
      <c r="J35" s="54"/>
      <c r="K35" s="54"/>
      <c r="L35" s="54"/>
      <c r="M35" s="54"/>
      <c r="N35" s="54"/>
      <c r="O35" s="54"/>
    </row>
    <row r="36" spans="1:15" x14ac:dyDescent="0.2">
      <c r="A36" s="54"/>
      <c r="B36" s="54"/>
      <c r="C36" s="54"/>
      <c r="D36" s="54"/>
      <c r="E36" s="54"/>
      <c r="F36" s="54"/>
      <c r="G36" s="54"/>
      <c r="H36" s="54"/>
      <c r="I36" s="54"/>
      <c r="J36" s="54"/>
      <c r="K36" s="54"/>
      <c r="L36" s="54"/>
      <c r="M36" s="54"/>
      <c r="N36" s="54"/>
      <c r="O36" s="54"/>
    </row>
    <row r="37" spans="1:15" x14ac:dyDescent="0.2">
      <c r="A37" s="54"/>
      <c r="B37" s="54"/>
      <c r="C37" s="54"/>
      <c r="D37" s="54"/>
      <c r="E37" s="54"/>
      <c r="F37" s="54"/>
      <c r="G37" s="54"/>
      <c r="H37" s="54"/>
      <c r="I37" s="54"/>
      <c r="J37" s="54"/>
      <c r="K37" s="54"/>
      <c r="L37" s="54"/>
      <c r="M37" s="54"/>
      <c r="N37" s="54"/>
      <c r="O37" s="54"/>
    </row>
    <row r="38" spans="1:15" x14ac:dyDescent="0.2">
      <c r="A38" s="54"/>
      <c r="B38" s="54"/>
      <c r="C38" s="54"/>
      <c r="D38" s="54"/>
      <c r="E38" s="54"/>
      <c r="F38" s="54"/>
      <c r="G38" s="54"/>
      <c r="H38" s="54"/>
      <c r="I38" s="54"/>
      <c r="J38" s="54"/>
      <c r="K38" s="54"/>
      <c r="L38" s="54"/>
      <c r="M38" s="54"/>
      <c r="N38" s="54"/>
      <c r="O38" s="54"/>
    </row>
    <row r="39" spans="1:15" x14ac:dyDescent="0.2">
      <c r="A39" s="54"/>
      <c r="B39" s="54"/>
      <c r="C39" s="54"/>
      <c r="D39" s="54"/>
      <c r="E39" s="54"/>
      <c r="F39" s="54"/>
      <c r="G39" s="54"/>
      <c r="H39" s="54"/>
      <c r="I39" s="54"/>
      <c r="J39" s="54"/>
      <c r="K39" s="54"/>
      <c r="L39" s="54"/>
      <c r="M39" s="54"/>
      <c r="N39" s="54"/>
      <c r="O39" s="54"/>
    </row>
    <row r="40" spans="1:15" x14ac:dyDescent="0.2">
      <c r="A40" s="54"/>
      <c r="B40" s="54"/>
      <c r="C40" s="54"/>
      <c r="D40" s="54"/>
      <c r="E40" s="54"/>
      <c r="F40" s="54"/>
      <c r="G40" s="54"/>
      <c r="H40" s="54"/>
      <c r="I40" s="54"/>
      <c r="J40" s="54"/>
      <c r="K40" s="54"/>
      <c r="L40" s="54"/>
      <c r="M40" s="54"/>
      <c r="N40" s="54"/>
      <c r="O40" s="54"/>
    </row>
    <row r="41" spans="1:15" x14ac:dyDescent="0.2">
      <c r="A41" s="54"/>
      <c r="B41" s="54"/>
      <c r="C41" s="54"/>
      <c r="D41" s="54"/>
      <c r="E41" s="54"/>
      <c r="F41" s="54"/>
      <c r="G41" s="54"/>
      <c r="H41" s="54"/>
      <c r="I41" s="54"/>
      <c r="J41" s="54"/>
      <c r="K41" s="54"/>
      <c r="L41" s="54"/>
      <c r="M41" s="54"/>
      <c r="N41" s="54"/>
      <c r="O41" s="54"/>
    </row>
    <row r="42" spans="1:15" x14ac:dyDescent="0.2">
      <c r="A42" s="54"/>
      <c r="B42" s="54"/>
      <c r="C42" s="54"/>
      <c r="D42" s="54"/>
      <c r="E42" s="54"/>
      <c r="F42" s="54"/>
      <c r="G42" s="54"/>
      <c r="H42" s="54"/>
      <c r="I42" s="54"/>
      <c r="J42" s="54"/>
      <c r="K42" s="54"/>
      <c r="L42" s="54"/>
      <c r="M42" s="54"/>
      <c r="N42" s="54"/>
      <c r="O42" s="54"/>
    </row>
    <row r="43" spans="1:15" x14ac:dyDescent="0.2">
      <c r="A43" s="54"/>
      <c r="B43" s="54"/>
      <c r="C43" s="54"/>
      <c r="D43" s="54"/>
      <c r="E43" s="54"/>
      <c r="F43" s="54"/>
      <c r="G43" s="54"/>
      <c r="H43" s="54"/>
      <c r="I43" s="54"/>
      <c r="J43" s="54"/>
      <c r="K43" s="54"/>
      <c r="L43" s="54"/>
      <c r="M43" s="54"/>
      <c r="N43" s="54"/>
      <c r="O43" s="54"/>
    </row>
    <row r="44" spans="1:15" x14ac:dyDescent="0.2">
      <c r="A44" s="54"/>
      <c r="B44" s="54"/>
      <c r="C44" s="54"/>
      <c r="D44" s="54"/>
      <c r="E44" s="54"/>
      <c r="F44" s="54"/>
      <c r="G44" s="54"/>
      <c r="H44" s="54"/>
      <c r="I44" s="54"/>
      <c r="J44" s="54"/>
      <c r="K44" s="54"/>
      <c r="L44" s="54"/>
      <c r="M44" s="54"/>
      <c r="N44" s="54"/>
      <c r="O44" s="54"/>
    </row>
    <row r="45" spans="1:15" x14ac:dyDescent="0.2">
      <c r="A45" s="54"/>
      <c r="B45" s="54"/>
      <c r="C45" s="54"/>
      <c r="D45" s="54"/>
      <c r="E45" s="54"/>
      <c r="F45" s="54"/>
      <c r="G45" s="54"/>
      <c r="H45" s="54"/>
      <c r="I45" s="54"/>
      <c r="J45" s="54"/>
      <c r="K45" s="54"/>
      <c r="L45" s="54"/>
      <c r="M45" s="54"/>
      <c r="N45" s="54"/>
      <c r="O45" s="54"/>
    </row>
    <row r="46" spans="1:15" x14ac:dyDescent="0.2">
      <c r="A46" s="54"/>
      <c r="B46" s="54"/>
      <c r="C46" s="54"/>
      <c r="D46" s="54"/>
      <c r="E46" s="54"/>
      <c r="F46" s="54"/>
      <c r="G46" s="54"/>
      <c r="H46" s="54"/>
      <c r="I46" s="54"/>
      <c r="J46" s="54"/>
      <c r="K46" s="54"/>
      <c r="L46" s="54"/>
      <c r="M46" s="54"/>
      <c r="N46" s="54"/>
      <c r="O46" s="54"/>
    </row>
    <row r="47" spans="1:15" x14ac:dyDescent="0.2">
      <c r="A47" s="54"/>
      <c r="B47" s="54"/>
      <c r="C47" s="54"/>
      <c r="D47" s="54"/>
      <c r="E47" s="54"/>
      <c r="F47" s="54"/>
      <c r="G47" s="54"/>
      <c r="H47" s="54"/>
      <c r="I47" s="54"/>
      <c r="J47" s="54"/>
      <c r="K47" s="54"/>
      <c r="L47" s="54"/>
      <c r="M47" s="54"/>
      <c r="N47" s="54"/>
      <c r="O47" s="54"/>
    </row>
    <row r="48" spans="1:15" x14ac:dyDescent="0.2">
      <c r="A48" s="54"/>
      <c r="B48" s="54"/>
      <c r="C48" s="54"/>
      <c r="D48" s="54"/>
      <c r="E48" s="54"/>
      <c r="F48" s="54"/>
      <c r="G48" s="54"/>
      <c r="H48" s="54"/>
      <c r="I48" s="54"/>
      <c r="J48" s="54"/>
      <c r="K48" s="54"/>
      <c r="L48" s="54"/>
      <c r="M48" s="54"/>
      <c r="N48" s="54"/>
      <c r="O48" s="54"/>
    </row>
    <row r="49" spans="1:18" x14ac:dyDescent="0.2">
      <c r="A49" s="54"/>
      <c r="B49" s="54"/>
      <c r="C49" s="54"/>
      <c r="D49" s="54"/>
      <c r="E49" s="54"/>
      <c r="F49" s="54"/>
      <c r="G49" s="54"/>
      <c r="H49" s="54"/>
      <c r="I49" s="54"/>
      <c r="J49" s="54"/>
      <c r="K49" s="54"/>
      <c r="L49" s="54"/>
      <c r="M49" s="54"/>
      <c r="N49" s="54"/>
      <c r="O49" s="54"/>
    </row>
    <row r="50" spans="1:18" x14ac:dyDescent="0.2">
      <c r="A50" s="54"/>
      <c r="B50" s="54"/>
      <c r="C50" s="54"/>
      <c r="D50" s="54"/>
      <c r="E50" s="54"/>
      <c r="F50" s="54"/>
      <c r="G50" s="54"/>
      <c r="H50" s="54"/>
      <c r="I50" s="54"/>
      <c r="J50" s="54"/>
      <c r="K50" s="54"/>
      <c r="L50" s="54"/>
      <c r="M50" s="54"/>
      <c r="N50" s="54"/>
      <c r="O50" s="54"/>
    </row>
    <row r="51" spans="1:18" x14ac:dyDescent="0.2">
      <c r="A51" s="54"/>
      <c r="B51" s="54"/>
      <c r="C51" s="54"/>
      <c r="D51" s="54"/>
      <c r="E51" s="54"/>
      <c r="F51" s="54"/>
      <c r="G51" s="54"/>
      <c r="H51" s="54"/>
      <c r="I51" s="54"/>
      <c r="J51" s="54"/>
      <c r="K51" s="54"/>
      <c r="L51" s="54"/>
      <c r="M51" s="54"/>
      <c r="N51" s="54"/>
      <c r="O51" s="54"/>
    </row>
    <row r="52" spans="1:18" x14ac:dyDescent="0.2">
      <c r="A52" s="54"/>
      <c r="B52" s="54"/>
      <c r="C52" s="54"/>
      <c r="D52" s="54"/>
      <c r="E52" s="54"/>
      <c r="F52" s="54"/>
      <c r="G52" s="54"/>
      <c r="H52" s="54"/>
      <c r="I52" s="54"/>
      <c r="J52" s="54"/>
      <c r="K52" s="54"/>
      <c r="L52" s="54"/>
      <c r="M52" s="54"/>
      <c r="N52" s="54"/>
      <c r="O52" s="54"/>
    </row>
    <row r="53" spans="1:18" x14ac:dyDescent="0.2">
      <c r="A53" s="54"/>
      <c r="B53" s="54"/>
      <c r="C53" s="54"/>
      <c r="D53" s="54"/>
      <c r="E53" s="54"/>
      <c r="F53" s="54"/>
      <c r="G53" s="54"/>
      <c r="H53" s="54"/>
      <c r="I53" s="54"/>
      <c r="J53" s="54"/>
      <c r="K53" s="54"/>
      <c r="L53" s="54"/>
      <c r="M53" s="54"/>
      <c r="N53" s="54"/>
      <c r="O53" s="54"/>
    </row>
    <row r="54" spans="1:18" x14ac:dyDescent="0.2">
      <c r="A54" s="54"/>
      <c r="B54" s="54"/>
      <c r="C54" s="54"/>
      <c r="D54" s="54"/>
      <c r="E54" s="54"/>
      <c r="F54" s="54"/>
      <c r="G54" s="54"/>
      <c r="H54" s="54"/>
      <c r="I54" s="54"/>
      <c r="J54" s="54"/>
      <c r="K54" s="54"/>
      <c r="L54" s="54"/>
      <c r="M54" s="54"/>
      <c r="N54" s="54"/>
      <c r="O54" s="54"/>
    </row>
    <row r="55" spans="1:18" x14ac:dyDescent="0.2">
      <c r="A55" s="53"/>
      <c r="B55" s="53"/>
      <c r="C55" s="53"/>
      <c r="D55" s="53"/>
      <c r="E55" s="53"/>
      <c r="F55" s="53"/>
      <c r="G55" s="53"/>
      <c r="H55" s="53"/>
      <c r="I55" s="53"/>
      <c r="J55" s="53"/>
      <c r="K55" s="53"/>
      <c r="L55" s="53"/>
      <c r="M55" s="53"/>
      <c r="N55" s="53"/>
      <c r="O55" s="53"/>
    </row>
    <row r="56" spans="1:18" s="55" customFormat="1" ht="16" x14ac:dyDescent="0.2">
      <c r="A56" s="89" t="s">
        <v>550</v>
      </c>
      <c r="B56" s="89"/>
      <c r="C56" s="89"/>
      <c r="D56" s="89"/>
      <c r="E56" s="89"/>
      <c r="F56" s="89"/>
      <c r="G56" s="89"/>
      <c r="H56" s="89"/>
      <c r="I56" s="89"/>
      <c r="J56" s="89"/>
      <c r="K56" s="89"/>
      <c r="L56" s="89"/>
      <c r="M56" s="89"/>
      <c r="N56" s="89"/>
      <c r="O56" s="89"/>
    </row>
    <row r="57" spans="1:18" s="55" customFormat="1" ht="16" x14ac:dyDescent="0.2">
      <c r="A57" s="94" t="s">
        <v>551</v>
      </c>
      <c r="B57" s="94"/>
      <c r="C57" s="94"/>
      <c r="D57" s="94"/>
      <c r="E57" s="94"/>
      <c r="F57" s="94"/>
      <c r="G57" s="94"/>
      <c r="H57" s="94"/>
      <c r="I57" s="94"/>
      <c r="J57" s="94"/>
      <c r="K57" s="94"/>
      <c r="L57" s="94"/>
      <c r="M57" s="94"/>
      <c r="N57" s="94"/>
      <c r="O57" s="94"/>
      <c r="R57" s="62"/>
    </row>
    <row r="58" spans="1:18" s="55" customFormat="1" ht="15" customHeight="1" x14ac:dyDescent="0.2">
      <c r="A58" s="86" t="s">
        <v>552</v>
      </c>
      <c r="B58" s="87"/>
      <c r="C58" s="87"/>
      <c r="D58" s="87"/>
      <c r="E58" s="87"/>
      <c r="F58" s="87"/>
      <c r="G58" s="87"/>
      <c r="H58" s="87"/>
      <c r="I58" s="87"/>
      <c r="J58" s="87"/>
      <c r="K58" s="87"/>
      <c r="L58" s="87"/>
      <c r="M58" s="87"/>
      <c r="N58" s="87"/>
      <c r="O58" s="88"/>
      <c r="R58" s="62"/>
    </row>
    <row r="59" spans="1:18" s="55" customFormat="1" ht="15" customHeight="1" x14ac:dyDescent="0.2">
      <c r="A59" s="86" t="s">
        <v>564</v>
      </c>
      <c r="B59" s="87"/>
      <c r="C59" s="87"/>
      <c r="D59" s="87"/>
      <c r="E59" s="87"/>
      <c r="F59" s="87"/>
      <c r="G59" s="87"/>
      <c r="H59" s="87"/>
      <c r="I59" s="87"/>
      <c r="J59" s="87"/>
      <c r="K59" s="87"/>
      <c r="L59" s="87"/>
      <c r="M59" s="87"/>
      <c r="N59" s="87"/>
      <c r="O59" s="88"/>
    </row>
    <row r="60" spans="1:18" s="55" customFormat="1" ht="15" customHeight="1" x14ac:dyDescent="0.2">
      <c r="A60" s="86" t="s">
        <v>553</v>
      </c>
      <c r="B60" s="87"/>
      <c r="C60" s="87"/>
      <c r="D60" s="87"/>
      <c r="E60" s="87"/>
      <c r="F60" s="87"/>
      <c r="G60" s="87"/>
      <c r="H60" s="87"/>
      <c r="I60" s="87"/>
      <c r="J60" s="87"/>
      <c r="K60" s="87"/>
      <c r="L60" s="87"/>
      <c r="M60" s="87"/>
      <c r="N60" s="87"/>
      <c r="O60" s="88"/>
    </row>
    <row r="61" spans="1:18" s="55" customFormat="1" ht="15" customHeight="1" x14ac:dyDescent="0.2">
      <c r="A61" s="86" t="s">
        <v>554</v>
      </c>
      <c r="B61" s="87"/>
      <c r="C61" s="87"/>
      <c r="D61" s="87"/>
      <c r="E61" s="87"/>
      <c r="F61" s="87"/>
      <c r="G61" s="87"/>
      <c r="H61" s="87"/>
      <c r="I61" s="87"/>
      <c r="J61" s="87"/>
      <c r="K61" s="87"/>
      <c r="L61" s="87"/>
      <c r="M61" s="87"/>
      <c r="N61" s="87"/>
      <c r="O61" s="88"/>
    </row>
    <row r="62" spans="1:18" s="55" customFormat="1" ht="15" customHeight="1" x14ac:dyDescent="0.2">
      <c r="A62" s="86" t="s">
        <v>555</v>
      </c>
      <c r="B62" s="87"/>
      <c r="C62" s="87"/>
      <c r="D62" s="87"/>
      <c r="E62" s="87"/>
      <c r="F62" s="87"/>
      <c r="G62" s="87"/>
      <c r="H62" s="87"/>
      <c r="I62" s="87"/>
      <c r="J62" s="87"/>
      <c r="K62" s="87"/>
      <c r="L62" s="87"/>
      <c r="M62" s="87"/>
      <c r="N62" s="87"/>
      <c r="O62" s="88"/>
    </row>
    <row r="63" spans="1:18" s="55" customFormat="1" ht="16" x14ac:dyDescent="0.2">
      <c r="A63" s="86" t="s">
        <v>565</v>
      </c>
      <c r="B63" s="87"/>
      <c r="C63" s="87"/>
      <c r="D63" s="87"/>
      <c r="E63" s="87"/>
      <c r="F63" s="87"/>
      <c r="G63" s="87"/>
      <c r="H63" s="87"/>
      <c r="I63" s="87"/>
      <c r="J63" s="87"/>
      <c r="K63" s="87"/>
      <c r="L63" s="87"/>
      <c r="M63" s="87"/>
      <c r="N63" s="87"/>
      <c r="O63" s="88"/>
    </row>
    <row r="64" spans="1:18" s="55" customFormat="1" ht="15" customHeight="1" x14ac:dyDescent="0.2">
      <c r="A64" s="86" t="s">
        <v>566</v>
      </c>
      <c r="B64" s="87"/>
      <c r="C64" s="87"/>
      <c r="D64" s="87"/>
      <c r="E64" s="87"/>
      <c r="F64" s="87"/>
      <c r="G64" s="87"/>
      <c r="H64" s="87"/>
      <c r="I64" s="87"/>
      <c r="J64" s="87"/>
      <c r="K64" s="87"/>
      <c r="L64" s="87"/>
      <c r="M64" s="87"/>
      <c r="N64" s="87"/>
      <c r="O64" s="88"/>
    </row>
    <row r="65" spans="1:15" s="55" customFormat="1" ht="16" x14ac:dyDescent="0.2">
      <c r="A65" s="95" t="s">
        <v>556</v>
      </c>
      <c r="B65" s="95"/>
      <c r="C65" s="95"/>
      <c r="D65" s="95"/>
      <c r="E65" s="95"/>
      <c r="F65" s="95"/>
      <c r="G65" s="95"/>
      <c r="H65" s="95"/>
      <c r="I65" s="95"/>
      <c r="J65" s="95"/>
      <c r="K65" s="95"/>
      <c r="L65" s="95"/>
      <c r="M65" s="95"/>
      <c r="N65" s="95"/>
      <c r="O65" s="95"/>
    </row>
  </sheetData>
  <sheetProtection algorithmName="SHA-512" hashValue="/QGkXvolU/pbDtEnVZ+5e6cbx+j+tzlKE8prfKhLmQuAnXvdID9Xc7zd11J/6Z1Y6zZ1MJQtPjGsT7Tc8yI5fg==" saltValue="nX/Vgdac+Cvb9IGORM7Lyw==" spinCount="100000" sheet="1" objects="1" scenarios="1" selectLockedCells="1" selectUnlockedCells="1"/>
  <mergeCells count="20">
    <mergeCell ref="A65:O65"/>
    <mergeCell ref="A59:O59"/>
    <mergeCell ref="A60:O60"/>
    <mergeCell ref="A61:O61"/>
    <mergeCell ref="A62:O62"/>
    <mergeCell ref="A63:O63"/>
    <mergeCell ref="A64:O64"/>
    <mergeCell ref="A58:O58"/>
    <mergeCell ref="A5:O5"/>
    <mergeCell ref="A6:O6"/>
    <mergeCell ref="A7:O7"/>
    <mergeCell ref="B8:O8"/>
    <mergeCell ref="B9:O9"/>
    <mergeCell ref="A10:O10"/>
    <mergeCell ref="A11:O11"/>
    <mergeCell ref="A13:O13"/>
    <mergeCell ref="A14:O14"/>
    <mergeCell ref="A18:O18"/>
    <mergeCell ref="A56:O56"/>
    <mergeCell ref="A57:O57"/>
  </mergeCells>
  <pageMargins left="0.7" right="0.7" top="0.75" bottom="0.75" header="0.3" footer="0.3"/>
  <pageSetup paperSize="9"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187A2-684D-FD49-A72B-994D202BBCF8}">
  <dimension ref="A1:E432"/>
  <sheetViews>
    <sheetView topLeftCell="A38" workbookViewId="0">
      <selection activeCell="B18" sqref="B18"/>
    </sheetView>
  </sheetViews>
  <sheetFormatPr baseColWidth="10" defaultRowHeight="16" x14ac:dyDescent="0.2"/>
  <cols>
    <col min="1" max="1" width="30.5" customWidth="1"/>
    <col min="2" max="2" width="12.33203125" style="5" customWidth="1"/>
    <col min="3" max="3" width="12.6640625" style="5" customWidth="1"/>
    <col min="4" max="4" width="14.5" customWidth="1"/>
    <col min="5" max="5" width="12.83203125" customWidth="1"/>
  </cols>
  <sheetData>
    <row r="1" spans="1:5" s="2" customFormat="1" x14ac:dyDescent="0.2">
      <c r="A1" s="2" t="s">
        <v>173</v>
      </c>
      <c r="B1" s="6" t="s">
        <v>174</v>
      </c>
      <c r="C1" s="6" t="s">
        <v>175</v>
      </c>
      <c r="D1" s="2" t="s">
        <v>176</v>
      </c>
      <c r="E1" s="2" t="s">
        <v>177</v>
      </c>
    </row>
    <row r="2" spans="1:5" x14ac:dyDescent="0.2">
      <c r="A2" s="12" t="s">
        <v>192</v>
      </c>
      <c r="B2" s="6"/>
      <c r="C2" s="6"/>
      <c r="D2" s="2"/>
      <c r="E2" s="2"/>
    </row>
    <row r="3" spans="1:5" x14ac:dyDescent="0.2">
      <c r="A3" t="s">
        <v>49</v>
      </c>
      <c r="C3" s="7">
        <v>32.4</v>
      </c>
      <c r="D3" t="s">
        <v>20</v>
      </c>
      <c r="E3" s="3" t="s">
        <v>184</v>
      </c>
    </row>
    <row r="4" spans="1:5" s="2" customFormat="1" x14ac:dyDescent="0.2">
      <c r="A4" t="s">
        <v>245</v>
      </c>
      <c r="B4" s="5"/>
      <c r="C4" s="7">
        <v>1.9</v>
      </c>
      <c r="D4" t="s">
        <v>20</v>
      </c>
      <c r="E4" s="3"/>
    </row>
    <row r="5" spans="1:5" s="2" customFormat="1" x14ac:dyDescent="0.2">
      <c r="A5" t="s">
        <v>295</v>
      </c>
      <c r="B5" s="5">
        <v>12</v>
      </c>
      <c r="C5" s="5">
        <v>22</v>
      </c>
      <c r="D5" t="s">
        <v>212</v>
      </c>
      <c r="E5" t="s">
        <v>184</v>
      </c>
    </row>
    <row r="6" spans="1:5" s="18" customFormat="1" x14ac:dyDescent="0.2">
      <c r="A6" t="s">
        <v>294</v>
      </c>
      <c r="B6" s="5"/>
      <c r="C6" s="5">
        <v>26</v>
      </c>
      <c r="D6" t="s">
        <v>198</v>
      </c>
      <c r="E6" t="s">
        <v>184</v>
      </c>
    </row>
    <row r="7" spans="1:5" x14ac:dyDescent="0.2">
      <c r="A7" t="s">
        <v>293</v>
      </c>
      <c r="C7" s="5">
        <v>36</v>
      </c>
      <c r="D7" t="s">
        <v>198</v>
      </c>
      <c r="E7" t="s">
        <v>184</v>
      </c>
    </row>
    <row r="8" spans="1:5" x14ac:dyDescent="0.2">
      <c r="A8" t="s">
        <v>291</v>
      </c>
      <c r="C8" s="5">
        <v>42</v>
      </c>
      <c r="D8" t="s">
        <v>198</v>
      </c>
      <c r="E8" t="s">
        <v>184</v>
      </c>
    </row>
    <row r="9" spans="1:5" x14ac:dyDescent="0.2">
      <c r="A9" t="s">
        <v>290</v>
      </c>
      <c r="C9" s="5">
        <v>52</v>
      </c>
      <c r="D9" t="s">
        <v>198</v>
      </c>
      <c r="E9" t="s">
        <v>184</v>
      </c>
    </row>
    <row r="10" spans="1:5" x14ac:dyDescent="0.2">
      <c r="A10" t="s">
        <v>59</v>
      </c>
      <c r="C10" s="7">
        <v>19.600000000000001</v>
      </c>
      <c r="D10" t="s">
        <v>20</v>
      </c>
      <c r="E10" s="3" t="s">
        <v>184</v>
      </c>
    </row>
    <row r="11" spans="1:5" x14ac:dyDescent="0.2">
      <c r="A11" t="s">
        <v>468</v>
      </c>
      <c r="C11" s="7">
        <v>3.2</v>
      </c>
      <c r="D11" t="s">
        <v>20</v>
      </c>
      <c r="E11" s="3" t="s">
        <v>184</v>
      </c>
    </row>
    <row r="12" spans="1:5" x14ac:dyDescent="0.2">
      <c r="A12" t="s">
        <v>296</v>
      </c>
      <c r="C12" s="5">
        <v>6</v>
      </c>
      <c r="D12" t="s">
        <v>198</v>
      </c>
      <c r="E12" t="s">
        <v>184</v>
      </c>
    </row>
    <row r="13" spans="1:5" x14ac:dyDescent="0.2">
      <c r="A13" t="s">
        <v>288</v>
      </c>
      <c r="C13" s="5">
        <v>11</v>
      </c>
      <c r="D13" t="s">
        <v>198</v>
      </c>
      <c r="E13" t="s">
        <v>184</v>
      </c>
    </row>
    <row r="14" spans="1:5" x14ac:dyDescent="0.2">
      <c r="A14" t="s">
        <v>287</v>
      </c>
      <c r="C14" s="5">
        <v>11</v>
      </c>
      <c r="D14" t="s">
        <v>198</v>
      </c>
      <c r="E14" t="s">
        <v>184</v>
      </c>
    </row>
    <row r="15" spans="1:5" x14ac:dyDescent="0.2">
      <c r="A15" t="s">
        <v>292</v>
      </c>
      <c r="C15" s="5">
        <v>20</v>
      </c>
      <c r="D15" t="s">
        <v>20</v>
      </c>
      <c r="E15" t="s">
        <v>184</v>
      </c>
    </row>
    <row r="16" spans="1:5" x14ac:dyDescent="0.2">
      <c r="A16" t="s">
        <v>286</v>
      </c>
      <c r="C16" s="5">
        <v>9</v>
      </c>
      <c r="D16" t="s">
        <v>198</v>
      </c>
      <c r="E16" t="s">
        <v>184</v>
      </c>
    </row>
    <row r="17" spans="1:5" x14ac:dyDescent="0.2">
      <c r="A17" t="s">
        <v>285</v>
      </c>
      <c r="C17" s="5">
        <v>15</v>
      </c>
      <c r="D17" t="s">
        <v>198</v>
      </c>
      <c r="E17" t="s">
        <v>184</v>
      </c>
    </row>
    <row r="18" spans="1:5" x14ac:dyDescent="0.2">
      <c r="A18" t="s">
        <v>289</v>
      </c>
      <c r="C18" s="5">
        <v>9</v>
      </c>
      <c r="D18" t="s">
        <v>198</v>
      </c>
      <c r="E18" t="s">
        <v>184</v>
      </c>
    </row>
    <row r="19" spans="1:5" x14ac:dyDescent="0.2">
      <c r="A19" t="s">
        <v>58</v>
      </c>
      <c r="C19" s="7">
        <v>10.8</v>
      </c>
      <c r="D19" t="s">
        <v>20</v>
      </c>
      <c r="E19" s="3" t="s">
        <v>184</v>
      </c>
    </row>
    <row r="20" spans="1:5" x14ac:dyDescent="0.2">
      <c r="A20" t="s">
        <v>55</v>
      </c>
      <c r="C20" s="7">
        <v>7.3</v>
      </c>
      <c r="D20" t="s">
        <v>20</v>
      </c>
      <c r="E20" s="3" t="s">
        <v>184</v>
      </c>
    </row>
    <row r="21" spans="1:5" x14ac:dyDescent="0.2">
      <c r="A21" t="s">
        <v>467</v>
      </c>
      <c r="C21" s="7">
        <v>14.2</v>
      </c>
      <c r="D21" t="s">
        <v>20</v>
      </c>
      <c r="E21" s="3" t="s">
        <v>184</v>
      </c>
    </row>
    <row r="22" spans="1:5" x14ac:dyDescent="0.2">
      <c r="A22" t="s">
        <v>282</v>
      </c>
      <c r="C22" s="5">
        <v>23</v>
      </c>
      <c r="D22" t="s">
        <v>198</v>
      </c>
      <c r="E22" t="s">
        <v>184</v>
      </c>
    </row>
    <row r="23" spans="1:5" x14ac:dyDescent="0.2">
      <c r="A23" t="s">
        <v>283</v>
      </c>
      <c r="C23" s="5">
        <v>20</v>
      </c>
      <c r="D23" t="s">
        <v>198</v>
      </c>
      <c r="E23" t="s">
        <v>184</v>
      </c>
    </row>
    <row r="24" spans="1:5" x14ac:dyDescent="0.2">
      <c r="A24" t="s">
        <v>284</v>
      </c>
      <c r="C24" s="5">
        <v>25</v>
      </c>
      <c r="D24" t="s">
        <v>198</v>
      </c>
      <c r="E24" t="s">
        <v>184</v>
      </c>
    </row>
    <row r="25" spans="1:5" x14ac:dyDescent="0.2">
      <c r="A25" t="s">
        <v>280</v>
      </c>
      <c r="C25" s="5">
        <v>18</v>
      </c>
      <c r="D25" t="s">
        <v>198</v>
      </c>
      <c r="E25" t="s">
        <v>184</v>
      </c>
    </row>
    <row r="26" spans="1:5" x14ac:dyDescent="0.2">
      <c r="A26" t="s">
        <v>281</v>
      </c>
      <c r="C26" s="5">
        <v>18</v>
      </c>
      <c r="D26" t="s">
        <v>198</v>
      </c>
      <c r="E26" t="s">
        <v>184</v>
      </c>
    </row>
    <row r="27" spans="1:5" x14ac:dyDescent="0.2">
      <c r="A27" t="s">
        <v>279</v>
      </c>
      <c r="C27" s="5">
        <v>20</v>
      </c>
      <c r="D27" t="s">
        <v>198</v>
      </c>
      <c r="E27" t="s">
        <v>184</v>
      </c>
    </row>
    <row r="28" spans="1:5" x14ac:dyDescent="0.2">
      <c r="A28" t="s">
        <v>56</v>
      </c>
      <c r="C28" s="7">
        <v>13.7</v>
      </c>
      <c r="D28" t="s">
        <v>20</v>
      </c>
      <c r="E28" s="3" t="s">
        <v>184</v>
      </c>
    </row>
    <row r="29" spans="1:5" x14ac:dyDescent="0.2">
      <c r="A29" t="s">
        <v>57</v>
      </c>
      <c r="C29" s="7">
        <v>16.100000000000001</v>
      </c>
      <c r="D29" t="s">
        <v>20</v>
      </c>
      <c r="E29" s="3" t="s">
        <v>184</v>
      </c>
    </row>
    <row r="30" spans="1:5" x14ac:dyDescent="0.2">
      <c r="A30" t="s">
        <v>97</v>
      </c>
      <c r="C30" s="5">
        <v>26.33</v>
      </c>
      <c r="D30" t="s">
        <v>20</v>
      </c>
      <c r="E30" s="3" t="s">
        <v>184</v>
      </c>
    </row>
    <row r="31" spans="1:5" x14ac:dyDescent="0.2">
      <c r="A31" t="s">
        <v>98</v>
      </c>
      <c r="C31" s="5">
        <v>55.26</v>
      </c>
      <c r="D31" t="s">
        <v>20</v>
      </c>
      <c r="E31" s="3" t="s">
        <v>184</v>
      </c>
    </row>
    <row r="32" spans="1:5" x14ac:dyDescent="0.2">
      <c r="A32" t="s">
        <v>204</v>
      </c>
      <c r="B32" s="5">
        <v>45</v>
      </c>
      <c r="C32" s="5">
        <v>47</v>
      </c>
      <c r="D32" t="s">
        <v>20</v>
      </c>
    </row>
    <row r="33" spans="1:5" x14ac:dyDescent="0.2">
      <c r="A33" t="s">
        <v>202</v>
      </c>
      <c r="B33" s="5">
        <v>45</v>
      </c>
      <c r="C33" s="5">
        <v>47</v>
      </c>
      <c r="D33" t="s">
        <v>20</v>
      </c>
    </row>
    <row r="34" spans="1:5" x14ac:dyDescent="0.2">
      <c r="A34" t="s">
        <v>203</v>
      </c>
      <c r="B34" s="5">
        <v>68</v>
      </c>
      <c r="C34" s="5">
        <v>71</v>
      </c>
      <c r="D34" t="s">
        <v>20</v>
      </c>
    </row>
    <row r="35" spans="1:5" x14ac:dyDescent="0.2">
      <c r="A35" t="s">
        <v>200</v>
      </c>
      <c r="C35" s="5">
        <v>70</v>
      </c>
      <c r="D35" t="s">
        <v>20</v>
      </c>
    </row>
    <row r="36" spans="1:5" x14ac:dyDescent="0.2">
      <c r="A36" t="s">
        <v>201</v>
      </c>
      <c r="B36" s="5">
        <v>25</v>
      </c>
      <c r="C36" s="5">
        <v>30</v>
      </c>
      <c r="D36" t="s">
        <v>20</v>
      </c>
    </row>
    <row r="37" spans="1:5" x14ac:dyDescent="0.2">
      <c r="A37" t="s">
        <v>407</v>
      </c>
      <c r="C37" s="7">
        <v>192</v>
      </c>
      <c r="D37" t="s">
        <v>20</v>
      </c>
    </row>
    <row r="38" spans="1:5" x14ac:dyDescent="0.2">
      <c r="A38" t="s">
        <v>408</v>
      </c>
      <c r="C38" s="7">
        <v>382</v>
      </c>
      <c r="D38" t="s">
        <v>20</v>
      </c>
    </row>
    <row r="39" spans="1:5" x14ac:dyDescent="0.2">
      <c r="A39" t="s">
        <v>409</v>
      </c>
      <c r="C39" s="7">
        <v>576</v>
      </c>
      <c r="D39" t="s">
        <v>20</v>
      </c>
    </row>
    <row r="40" spans="1:5" x14ac:dyDescent="0.2">
      <c r="A40" t="s">
        <v>16</v>
      </c>
      <c r="B40" s="5">
        <v>1600</v>
      </c>
      <c r="C40" s="5">
        <v>1920</v>
      </c>
      <c r="D40" t="s">
        <v>1</v>
      </c>
      <c r="E40" s="3" t="s">
        <v>184</v>
      </c>
    </row>
    <row r="41" spans="1:5" x14ac:dyDescent="0.2">
      <c r="A41" t="s">
        <v>410</v>
      </c>
      <c r="C41" s="5">
        <f>50*3.1</f>
        <v>155</v>
      </c>
      <c r="D41" t="s">
        <v>1</v>
      </c>
      <c r="E41" s="3"/>
    </row>
    <row r="42" spans="1:5" x14ac:dyDescent="0.2">
      <c r="A42" t="s">
        <v>405</v>
      </c>
      <c r="C42" s="5">
        <f>55*3.1</f>
        <v>170.5</v>
      </c>
      <c r="D42" t="s">
        <v>1</v>
      </c>
      <c r="E42" s="3"/>
    </row>
    <row r="43" spans="1:5" x14ac:dyDescent="0.2">
      <c r="A43" t="s">
        <v>406</v>
      </c>
      <c r="C43" s="5">
        <f>62*3.1</f>
        <v>192.20000000000002</v>
      </c>
      <c r="D43" t="s">
        <v>1</v>
      </c>
      <c r="E43" s="3"/>
    </row>
    <row r="44" spans="1:5" x14ac:dyDescent="0.2">
      <c r="A44" t="s">
        <v>26</v>
      </c>
      <c r="C44" s="7">
        <v>5</v>
      </c>
      <c r="D44" t="s">
        <v>20</v>
      </c>
    </row>
    <row r="45" spans="1:5" x14ac:dyDescent="0.2">
      <c r="A45" t="s">
        <v>31</v>
      </c>
      <c r="C45" s="7">
        <v>0.78</v>
      </c>
      <c r="D45" t="s">
        <v>20</v>
      </c>
    </row>
    <row r="46" spans="1:5" x14ac:dyDescent="0.2">
      <c r="A46" t="s">
        <v>17</v>
      </c>
      <c r="C46" s="5">
        <v>2400</v>
      </c>
      <c r="D46" t="s">
        <v>1</v>
      </c>
    </row>
    <row r="47" spans="1:5" x14ac:dyDescent="0.2">
      <c r="A47" t="s">
        <v>18</v>
      </c>
      <c r="B47" s="5">
        <v>2464</v>
      </c>
      <c r="C47" s="5">
        <v>2500</v>
      </c>
      <c r="D47" t="s">
        <v>1</v>
      </c>
    </row>
    <row r="48" spans="1:5" x14ac:dyDescent="0.2">
      <c r="A48" t="s">
        <v>2</v>
      </c>
      <c r="C48" s="5">
        <v>300</v>
      </c>
      <c r="D48" t="s">
        <v>1</v>
      </c>
    </row>
    <row r="49" spans="1:5" x14ac:dyDescent="0.2">
      <c r="A49" t="s">
        <v>79</v>
      </c>
      <c r="C49" s="5">
        <v>64</v>
      </c>
      <c r="D49" t="s">
        <v>20</v>
      </c>
      <c r="E49" s="3" t="s">
        <v>184</v>
      </c>
    </row>
    <row r="50" spans="1:5" x14ac:dyDescent="0.2">
      <c r="A50" t="s">
        <v>77</v>
      </c>
      <c r="C50" s="5">
        <v>32</v>
      </c>
      <c r="D50" t="s">
        <v>20</v>
      </c>
      <c r="E50" s="3" t="s">
        <v>184</v>
      </c>
    </row>
    <row r="51" spans="1:5" x14ac:dyDescent="0.2">
      <c r="A51" t="s">
        <v>78</v>
      </c>
      <c r="C51" s="5">
        <v>70</v>
      </c>
      <c r="D51" t="s">
        <v>20</v>
      </c>
      <c r="E51" s="3" t="s">
        <v>184</v>
      </c>
    </row>
    <row r="52" spans="1:5" x14ac:dyDescent="0.2">
      <c r="A52" t="s">
        <v>90</v>
      </c>
      <c r="C52" s="5">
        <v>2.6</v>
      </c>
      <c r="D52" t="s">
        <v>20</v>
      </c>
    </row>
    <row r="53" spans="1:5" x14ac:dyDescent="0.2">
      <c r="A53" t="s">
        <v>91</v>
      </c>
      <c r="C53" s="5">
        <v>3.5</v>
      </c>
      <c r="D53" t="s">
        <v>20</v>
      </c>
    </row>
    <row r="54" spans="1:5" x14ac:dyDescent="0.2">
      <c r="A54" t="s">
        <v>92</v>
      </c>
      <c r="C54" s="5">
        <v>4.0999999999999996</v>
      </c>
      <c r="D54" t="s">
        <v>20</v>
      </c>
    </row>
    <row r="55" spans="1:5" x14ac:dyDescent="0.2">
      <c r="A55" t="s">
        <v>93</v>
      </c>
      <c r="C55" s="5">
        <v>6.1</v>
      </c>
      <c r="D55" t="s">
        <v>20</v>
      </c>
    </row>
    <row r="56" spans="1:5" x14ac:dyDescent="0.2">
      <c r="A56" t="s">
        <v>76</v>
      </c>
      <c r="C56" s="5">
        <v>1.99</v>
      </c>
      <c r="D56" t="s">
        <v>20</v>
      </c>
    </row>
    <row r="57" spans="1:5" x14ac:dyDescent="0.2">
      <c r="A57" t="s">
        <v>75</v>
      </c>
      <c r="C57" s="5">
        <v>13.2</v>
      </c>
      <c r="D57" t="s">
        <v>20</v>
      </c>
    </row>
    <row r="58" spans="1:5" x14ac:dyDescent="0.2">
      <c r="A58" t="s">
        <v>94</v>
      </c>
      <c r="C58" s="5">
        <v>12.2</v>
      </c>
      <c r="D58" t="s">
        <v>20</v>
      </c>
    </row>
    <row r="59" spans="1:5" x14ac:dyDescent="0.2">
      <c r="A59" t="s">
        <v>95</v>
      </c>
      <c r="C59" s="5">
        <v>13.2</v>
      </c>
      <c r="D59" t="s">
        <v>20</v>
      </c>
    </row>
    <row r="60" spans="1:5" x14ac:dyDescent="0.2">
      <c r="A60" t="s">
        <v>96</v>
      </c>
      <c r="C60" s="5">
        <v>30</v>
      </c>
      <c r="D60" t="s">
        <v>20</v>
      </c>
    </row>
    <row r="61" spans="1:5" x14ac:dyDescent="0.2">
      <c r="A61" t="s">
        <v>85</v>
      </c>
      <c r="C61" s="5">
        <v>3</v>
      </c>
      <c r="D61" t="s">
        <v>20</v>
      </c>
    </row>
    <row r="62" spans="1:5" x14ac:dyDescent="0.2">
      <c r="A62" t="s">
        <v>87</v>
      </c>
      <c r="C62" s="5">
        <v>4.5</v>
      </c>
      <c r="D62" t="s">
        <v>20</v>
      </c>
    </row>
    <row r="63" spans="1:5" x14ac:dyDescent="0.2">
      <c r="A63" t="s">
        <v>86</v>
      </c>
      <c r="C63" s="5">
        <v>4</v>
      </c>
      <c r="D63" t="s">
        <v>20</v>
      </c>
    </row>
    <row r="64" spans="1:5" x14ac:dyDescent="0.2">
      <c r="A64" t="s">
        <v>73</v>
      </c>
      <c r="C64" s="7">
        <v>5</v>
      </c>
      <c r="D64" t="s">
        <v>20</v>
      </c>
      <c r="E64" s="3"/>
    </row>
    <row r="65" spans="1:5" x14ac:dyDescent="0.2">
      <c r="A65" t="s">
        <v>88</v>
      </c>
      <c r="C65" s="5">
        <v>6</v>
      </c>
      <c r="D65" t="s">
        <v>20</v>
      </c>
    </row>
    <row r="66" spans="1:5" x14ac:dyDescent="0.2">
      <c r="A66" t="s">
        <v>89</v>
      </c>
      <c r="C66" s="5">
        <v>7</v>
      </c>
      <c r="D66" t="s">
        <v>20</v>
      </c>
    </row>
    <row r="67" spans="1:5" x14ac:dyDescent="0.2">
      <c r="A67" t="s">
        <v>74</v>
      </c>
      <c r="C67" s="7">
        <v>13</v>
      </c>
      <c r="D67" t="s">
        <v>20</v>
      </c>
    </row>
    <row r="68" spans="1:5" x14ac:dyDescent="0.2">
      <c r="A68" t="s">
        <v>133</v>
      </c>
      <c r="C68" s="5">
        <v>80</v>
      </c>
      <c r="D68" t="s">
        <v>20</v>
      </c>
      <c r="E68" s="3" t="s">
        <v>184</v>
      </c>
    </row>
    <row r="69" spans="1:5" x14ac:dyDescent="0.2">
      <c r="A69" t="s">
        <v>104</v>
      </c>
      <c r="C69" s="5">
        <v>9</v>
      </c>
      <c r="D69" t="s">
        <v>20</v>
      </c>
    </row>
    <row r="70" spans="1:5" x14ac:dyDescent="0.2">
      <c r="A70" t="s">
        <v>131</v>
      </c>
      <c r="C70" s="5">
        <v>30</v>
      </c>
      <c r="D70" t="s">
        <v>20</v>
      </c>
    </row>
    <row r="71" spans="1:5" x14ac:dyDescent="0.2">
      <c r="A71" t="s">
        <v>103</v>
      </c>
      <c r="C71" s="5">
        <v>10</v>
      </c>
      <c r="D71" t="s">
        <v>20</v>
      </c>
      <c r="E71" s="3" t="s">
        <v>184</v>
      </c>
    </row>
    <row r="72" spans="1:5" x14ac:dyDescent="0.2">
      <c r="A72" t="s">
        <v>132</v>
      </c>
      <c r="C72" s="5">
        <v>220</v>
      </c>
      <c r="D72" t="s">
        <v>20</v>
      </c>
      <c r="E72" s="3" t="s">
        <v>184</v>
      </c>
    </row>
    <row r="73" spans="1:5" x14ac:dyDescent="0.2">
      <c r="A73" t="s">
        <v>8</v>
      </c>
      <c r="C73" s="5">
        <v>1440</v>
      </c>
      <c r="D73" t="s">
        <v>1</v>
      </c>
    </row>
    <row r="74" spans="1:5" x14ac:dyDescent="0.2">
      <c r="A74" t="s">
        <v>9</v>
      </c>
      <c r="C74" s="5">
        <v>1760</v>
      </c>
      <c r="D74" t="s">
        <v>1</v>
      </c>
    </row>
    <row r="75" spans="1:5" x14ac:dyDescent="0.2">
      <c r="A75" t="s">
        <v>7</v>
      </c>
      <c r="C75" s="5">
        <v>1010</v>
      </c>
      <c r="D75" t="s">
        <v>1</v>
      </c>
      <c r="E75" s="3" t="s">
        <v>184</v>
      </c>
    </row>
    <row r="76" spans="1:5" x14ac:dyDescent="0.2">
      <c r="A76" t="s">
        <v>3</v>
      </c>
      <c r="C76" s="5">
        <v>1000</v>
      </c>
      <c r="D76" t="s">
        <v>1</v>
      </c>
      <c r="E76" s="3" t="s">
        <v>184</v>
      </c>
    </row>
    <row r="77" spans="1:5" x14ac:dyDescent="0.2">
      <c r="A77" t="s">
        <v>146</v>
      </c>
      <c r="C77" s="5">
        <v>7830</v>
      </c>
      <c r="D77" t="s">
        <v>1</v>
      </c>
    </row>
    <row r="78" spans="1:5" x14ac:dyDescent="0.2">
      <c r="A78" t="s">
        <v>278</v>
      </c>
      <c r="C78" s="5">
        <v>134</v>
      </c>
      <c r="D78" t="s">
        <v>20</v>
      </c>
    </row>
    <row r="79" spans="1:5" x14ac:dyDescent="0.2">
      <c r="A79" t="s">
        <v>276</v>
      </c>
      <c r="C79" s="5">
        <v>159.6</v>
      </c>
      <c r="D79" t="s">
        <v>20</v>
      </c>
    </row>
    <row r="80" spans="1:5" x14ac:dyDescent="0.2">
      <c r="A80" t="s">
        <v>277</v>
      </c>
      <c r="C80" s="5">
        <v>110.4</v>
      </c>
      <c r="D80" t="s">
        <v>20</v>
      </c>
    </row>
    <row r="81" spans="1:5" x14ac:dyDescent="0.2">
      <c r="A81" t="s">
        <v>105</v>
      </c>
      <c r="C81" s="5">
        <v>239</v>
      </c>
      <c r="D81" t="s">
        <v>20</v>
      </c>
    </row>
    <row r="82" spans="1:5" x14ac:dyDescent="0.2">
      <c r="A82" t="s">
        <v>106</v>
      </c>
      <c r="C82" s="5">
        <v>195</v>
      </c>
      <c r="D82" t="s">
        <v>20</v>
      </c>
    </row>
    <row r="83" spans="1:5" x14ac:dyDescent="0.2">
      <c r="A83" t="s">
        <v>135</v>
      </c>
      <c r="C83" s="5">
        <v>240</v>
      </c>
      <c r="D83" t="s">
        <v>20</v>
      </c>
    </row>
    <row r="84" spans="1:5" x14ac:dyDescent="0.2">
      <c r="A84" t="s">
        <v>136</v>
      </c>
      <c r="C84" s="5">
        <v>300</v>
      </c>
      <c r="D84" t="s">
        <v>20</v>
      </c>
    </row>
    <row r="85" spans="1:5" x14ac:dyDescent="0.2">
      <c r="A85" t="s">
        <v>137</v>
      </c>
      <c r="C85" s="5">
        <v>540</v>
      </c>
      <c r="D85" t="s">
        <v>20</v>
      </c>
    </row>
    <row r="86" spans="1:5" x14ac:dyDescent="0.2">
      <c r="A86" t="s">
        <v>138</v>
      </c>
      <c r="C86" s="5">
        <v>600</v>
      </c>
      <c r="D86" t="s">
        <v>20</v>
      </c>
    </row>
    <row r="87" spans="1:5" x14ac:dyDescent="0.2">
      <c r="A87" t="s">
        <v>134</v>
      </c>
      <c r="C87" s="5">
        <v>216</v>
      </c>
      <c r="D87" t="s">
        <v>20</v>
      </c>
    </row>
    <row r="88" spans="1:5" x14ac:dyDescent="0.2">
      <c r="A88" t="s">
        <v>5</v>
      </c>
      <c r="C88" s="5">
        <v>880</v>
      </c>
      <c r="D88" t="s">
        <v>1</v>
      </c>
      <c r="E88" s="3" t="s">
        <v>184</v>
      </c>
    </row>
    <row r="89" spans="1:5" x14ac:dyDescent="0.2">
      <c r="A89" t="s">
        <v>210</v>
      </c>
      <c r="C89" s="5">
        <v>32</v>
      </c>
      <c r="D89" t="s">
        <v>20</v>
      </c>
    </row>
    <row r="90" spans="1:5" x14ac:dyDescent="0.2">
      <c r="A90" t="s">
        <v>205</v>
      </c>
      <c r="C90" s="5">
        <v>5.3</v>
      </c>
      <c r="D90" t="s">
        <v>20</v>
      </c>
    </row>
    <row r="91" spans="1:5" x14ac:dyDescent="0.2">
      <c r="A91" t="s">
        <v>207</v>
      </c>
      <c r="C91" s="5">
        <v>16</v>
      </c>
      <c r="D91" t="s">
        <v>20</v>
      </c>
    </row>
    <row r="92" spans="1:5" x14ac:dyDescent="0.2">
      <c r="A92" t="s">
        <v>206</v>
      </c>
      <c r="C92" s="5">
        <v>15.95</v>
      </c>
      <c r="D92" t="s">
        <v>20</v>
      </c>
    </row>
    <row r="93" spans="1:5" x14ac:dyDescent="0.2">
      <c r="A93" t="s">
        <v>238</v>
      </c>
      <c r="C93" s="5">
        <v>16.420000000000002</v>
      </c>
      <c r="D93" t="s">
        <v>20</v>
      </c>
    </row>
    <row r="94" spans="1:5" x14ac:dyDescent="0.2">
      <c r="A94" t="s">
        <v>239</v>
      </c>
      <c r="C94" s="5">
        <v>16.5</v>
      </c>
      <c r="D94" t="s">
        <v>20</v>
      </c>
    </row>
    <row r="95" spans="1:5" x14ac:dyDescent="0.2">
      <c r="A95" t="s">
        <v>209</v>
      </c>
      <c r="C95" s="5">
        <v>9.1999999999999993</v>
      </c>
      <c r="D95" t="s">
        <v>20</v>
      </c>
    </row>
    <row r="96" spans="1:5" x14ac:dyDescent="0.2">
      <c r="A96" t="s">
        <v>208</v>
      </c>
      <c r="C96" s="5">
        <v>10</v>
      </c>
      <c r="D96" t="s">
        <v>20</v>
      </c>
    </row>
    <row r="97" spans="1:5" x14ac:dyDescent="0.2">
      <c r="A97" t="s">
        <v>236</v>
      </c>
      <c r="C97" s="5">
        <v>35</v>
      </c>
      <c r="D97" t="s">
        <v>212</v>
      </c>
    </row>
    <row r="98" spans="1:5" x14ac:dyDescent="0.2">
      <c r="A98" t="s">
        <v>237</v>
      </c>
      <c r="B98" s="5">
        <v>25</v>
      </c>
      <c r="C98" s="5">
        <v>32</v>
      </c>
      <c r="D98" t="s">
        <v>212</v>
      </c>
    </row>
    <row r="99" spans="1:5" x14ac:dyDescent="0.2">
      <c r="A99" t="s">
        <v>232</v>
      </c>
      <c r="C99" s="5">
        <v>15</v>
      </c>
      <c r="D99" t="s">
        <v>212</v>
      </c>
    </row>
    <row r="100" spans="1:5" x14ac:dyDescent="0.2">
      <c r="A100" t="s">
        <v>234</v>
      </c>
      <c r="C100" s="5">
        <v>15</v>
      </c>
      <c r="D100" t="s">
        <v>212</v>
      </c>
    </row>
    <row r="101" spans="1:5" x14ac:dyDescent="0.2">
      <c r="A101" t="s">
        <v>233</v>
      </c>
      <c r="C101" s="5">
        <v>20</v>
      </c>
      <c r="D101" t="s">
        <v>212</v>
      </c>
    </row>
    <row r="102" spans="1:5" x14ac:dyDescent="0.2">
      <c r="A102" t="s">
        <v>235</v>
      </c>
      <c r="C102" s="5">
        <v>25</v>
      </c>
      <c r="D102" t="s">
        <v>212</v>
      </c>
    </row>
    <row r="103" spans="1:5" x14ac:dyDescent="0.2">
      <c r="A103" t="s">
        <v>27</v>
      </c>
      <c r="C103" s="7">
        <v>2080</v>
      </c>
      <c r="D103" t="s">
        <v>1</v>
      </c>
      <c r="E103" s="3" t="s">
        <v>184</v>
      </c>
    </row>
    <row r="104" spans="1:5" x14ac:dyDescent="0.2">
      <c r="A104" t="s">
        <v>10</v>
      </c>
      <c r="B104" s="5">
        <v>1410</v>
      </c>
      <c r="C104" s="5">
        <v>1849</v>
      </c>
      <c r="D104" t="s">
        <v>1</v>
      </c>
    </row>
    <row r="105" spans="1:5" x14ac:dyDescent="0.2">
      <c r="A105" t="s">
        <v>11</v>
      </c>
      <c r="B105" s="5">
        <v>1600</v>
      </c>
      <c r="C105" s="5">
        <v>2000</v>
      </c>
      <c r="D105" t="s">
        <v>1</v>
      </c>
    </row>
    <row r="106" spans="1:5" x14ac:dyDescent="0.2">
      <c r="A106" t="s">
        <v>50</v>
      </c>
      <c r="C106" s="7">
        <v>8.3000000000000007</v>
      </c>
      <c r="D106" t="s">
        <v>20</v>
      </c>
      <c r="E106" s="3" t="s">
        <v>184</v>
      </c>
    </row>
    <row r="107" spans="1:5" x14ac:dyDescent="0.2">
      <c r="A107" t="s">
        <v>80</v>
      </c>
      <c r="C107" s="7">
        <v>48</v>
      </c>
      <c r="D107" t="s">
        <v>20</v>
      </c>
      <c r="E107" s="3" t="s">
        <v>184</v>
      </c>
    </row>
    <row r="108" spans="1:5" x14ac:dyDescent="0.2">
      <c r="A108" t="s">
        <v>469</v>
      </c>
      <c r="C108" s="7">
        <v>6</v>
      </c>
      <c r="D108" t="s">
        <v>20</v>
      </c>
      <c r="E108" t="s">
        <v>184</v>
      </c>
    </row>
    <row r="109" spans="1:5" x14ac:dyDescent="0.2">
      <c r="A109" t="s">
        <v>32</v>
      </c>
      <c r="C109" s="7">
        <v>6</v>
      </c>
      <c r="D109" t="s">
        <v>20</v>
      </c>
    </row>
    <row r="110" spans="1:5" x14ac:dyDescent="0.2">
      <c r="A110" t="s">
        <v>36</v>
      </c>
      <c r="C110" s="7">
        <v>13.2</v>
      </c>
      <c r="D110" t="s">
        <v>20</v>
      </c>
      <c r="E110" s="3" t="s">
        <v>184</v>
      </c>
    </row>
    <row r="111" spans="1:5" x14ac:dyDescent="0.2">
      <c r="A111" t="s">
        <v>33</v>
      </c>
      <c r="C111" s="7">
        <v>20.9</v>
      </c>
      <c r="D111" t="s">
        <v>20</v>
      </c>
      <c r="E111" s="3" t="s">
        <v>184</v>
      </c>
    </row>
    <row r="112" spans="1:5" x14ac:dyDescent="0.2">
      <c r="A112" t="s">
        <v>37</v>
      </c>
      <c r="C112" s="7">
        <v>6.6</v>
      </c>
      <c r="D112" t="s">
        <v>20</v>
      </c>
      <c r="E112" s="3" t="s">
        <v>184</v>
      </c>
    </row>
    <row r="113" spans="1:5" x14ac:dyDescent="0.2">
      <c r="A113" t="s">
        <v>34</v>
      </c>
      <c r="C113" s="7">
        <v>10.5</v>
      </c>
      <c r="D113" t="s">
        <v>20</v>
      </c>
      <c r="E113" s="3" t="s">
        <v>184</v>
      </c>
    </row>
    <row r="114" spans="1:5" x14ac:dyDescent="0.2">
      <c r="A114" t="s">
        <v>35</v>
      </c>
      <c r="C114" s="7">
        <v>2.6</v>
      </c>
      <c r="D114" t="s">
        <v>20</v>
      </c>
      <c r="E114" s="3" t="s">
        <v>184</v>
      </c>
    </row>
    <row r="115" spans="1:5" x14ac:dyDescent="0.2">
      <c r="A115" t="s">
        <v>81</v>
      </c>
      <c r="C115" s="7">
        <v>32</v>
      </c>
      <c r="D115" t="s">
        <v>20</v>
      </c>
      <c r="E115" s="3" t="s">
        <v>184</v>
      </c>
    </row>
    <row r="116" spans="1:5" x14ac:dyDescent="0.2">
      <c r="A116" t="s">
        <v>124</v>
      </c>
      <c r="C116" s="7">
        <v>8</v>
      </c>
      <c r="D116" t="s">
        <v>20</v>
      </c>
      <c r="E116" s="3" t="s">
        <v>184</v>
      </c>
    </row>
    <row r="117" spans="1:5" x14ac:dyDescent="0.2">
      <c r="A117" t="s">
        <v>125</v>
      </c>
      <c r="C117" s="7">
        <v>11</v>
      </c>
      <c r="D117" t="s">
        <v>20</v>
      </c>
      <c r="E117" s="3" t="s">
        <v>184</v>
      </c>
    </row>
    <row r="118" spans="1:5" x14ac:dyDescent="0.2">
      <c r="A118" t="s">
        <v>120</v>
      </c>
      <c r="C118" s="7">
        <v>7.5</v>
      </c>
      <c r="D118" t="s">
        <v>20</v>
      </c>
      <c r="E118" s="3" t="s">
        <v>184</v>
      </c>
    </row>
    <row r="119" spans="1:5" x14ac:dyDescent="0.2">
      <c r="A119" t="s">
        <v>121</v>
      </c>
      <c r="C119" s="7">
        <v>11</v>
      </c>
      <c r="D119" t="s">
        <v>20</v>
      </c>
      <c r="E119" s="3" t="s">
        <v>184</v>
      </c>
    </row>
    <row r="120" spans="1:5" x14ac:dyDescent="0.2">
      <c r="A120" t="s">
        <v>122</v>
      </c>
      <c r="C120" s="7">
        <v>15.3</v>
      </c>
      <c r="D120" t="s">
        <v>20</v>
      </c>
      <c r="E120" s="3" t="s">
        <v>184</v>
      </c>
    </row>
    <row r="121" spans="1:5" x14ac:dyDescent="0.2">
      <c r="A121" t="s">
        <v>123</v>
      </c>
      <c r="C121" s="7">
        <v>16.899999999999999</v>
      </c>
      <c r="D121" t="s">
        <v>20</v>
      </c>
      <c r="E121" s="3" t="s">
        <v>184</v>
      </c>
    </row>
    <row r="122" spans="1:5" x14ac:dyDescent="0.2">
      <c r="A122" t="s">
        <v>118</v>
      </c>
      <c r="C122" s="7">
        <v>7</v>
      </c>
      <c r="D122" t="s">
        <v>20</v>
      </c>
      <c r="E122" s="3" t="s">
        <v>184</v>
      </c>
    </row>
    <row r="123" spans="1:5" x14ac:dyDescent="0.2">
      <c r="A123" t="s">
        <v>119</v>
      </c>
      <c r="C123" s="7">
        <v>9</v>
      </c>
      <c r="D123" t="s">
        <v>20</v>
      </c>
      <c r="E123" s="3" t="s">
        <v>184</v>
      </c>
    </row>
    <row r="124" spans="1:5" x14ac:dyDescent="0.2">
      <c r="A124" t="s">
        <v>128</v>
      </c>
      <c r="B124" s="5">
        <v>20</v>
      </c>
      <c r="C124" s="5">
        <v>25</v>
      </c>
      <c r="D124" t="s">
        <v>20</v>
      </c>
    </row>
    <row r="125" spans="1:5" x14ac:dyDescent="0.2">
      <c r="A125" t="s">
        <v>149</v>
      </c>
      <c r="C125" s="5">
        <v>20</v>
      </c>
      <c r="D125" t="s">
        <v>20</v>
      </c>
    </row>
    <row r="126" spans="1:5" x14ac:dyDescent="0.2">
      <c r="A126" t="s">
        <v>150</v>
      </c>
      <c r="C126" s="5">
        <v>25</v>
      </c>
      <c r="D126" t="s">
        <v>20</v>
      </c>
    </row>
    <row r="127" spans="1:5" x14ac:dyDescent="0.2">
      <c r="A127" t="s">
        <v>151</v>
      </c>
      <c r="C127" s="5">
        <v>30</v>
      </c>
      <c r="D127" t="s">
        <v>20</v>
      </c>
    </row>
    <row r="128" spans="1:5" x14ac:dyDescent="0.2">
      <c r="A128" t="s">
        <v>147</v>
      </c>
      <c r="C128" s="5">
        <v>12.5</v>
      </c>
      <c r="D128" t="s">
        <v>20</v>
      </c>
    </row>
    <row r="129" spans="1:5" x14ac:dyDescent="0.2">
      <c r="A129" t="s">
        <v>148</v>
      </c>
      <c r="C129" s="5">
        <v>15</v>
      </c>
      <c r="D129" t="s">
        <v>20</v>
      </c>
    </row>
    <row r="130" spans="1:5" x14ac:dyDescent="0.2">
      <c r="A130" t="s">
        <v>157</v>
      </c>
      <c r="C130" s="5">
        <v>27</v>
      </c>
      <c r="D130" t="s">
        <v>20</v>
      </c>
    </row>
    <row r="131" spans="1:5" x14ac:dyDescent="0.2">
      <c r="A131" t="s">
        <v>158</v>
      </c>
      <c r="C131" s="5">
        <v>28.75</v>
      </c>
      <c r="D131" t="s">
        <v>20</v>
      </c>
    </row>
    <row r="132" spans="1:5" x14ac:dyDescent="0.2">
      <c r="A132" t="s">
        <v>152</v>
      </c>
      <c r="C132" s="5">
        <v>11</v>
      </c>
      <c r="D132" t="s">
        <v>20</v>
      </c>
    </row>
    <row r="133" spans="1:5" x14ac:dyDescent="0.2">
      <c r="A133" t="s">
        <v>153</v>
      </c>
      <c r="C133" s="5">
        <v>16</v>
      </c>
      <c r="D133" t="s">
        <v>20</v>
      </c>
    </row>
    <row r="134" spans="1:5" x14ac:dyDescent="0.2">
      <c r="A134" t="s">
        <v>154</v>
      </c>
      <c r="C134" s="5">
        <v>17</v>
      </c>
      <c r="D134" t="s">
        <v>20</v>
      </c>
    </row>
    <row r="135" spans="1:5" x14ac:dyDescent="0.2">
      <c r="A135" t="s">
        <v>155</v>
      </c>
      <c r="C135" s="5">
        <v>18.75</v>
      </c>
      <c r="D135" t="s">
        <v>20</v>
      </c>
    </row>
    <row r="136" spans="1:5" x14ac:dyDescent="0.2">
      <c r="A136" t="s">
        <v>156</v>
      </c>
      <c r="C136" s="5">
        <v>22</v>
      </c>
      <c r="D136" t="s">
        <v>20</v>
      </c>
    </row>
    <row r="137" spans="1:5" x14ac:dyDescent="0.2">
      <c r="A137" t="s">
        <v>159</v>
      </c>
      <c r="C137" s="5">
        <v>17.5</v>
      </c>
      <c r="D137" t="s">
        <v>20</v>
      </c>
    </row>
    <row r="138" spans="1:5" x14ac:dyDescent="0.2">
      <c r="A138" t="s">
        <v>160</v>
      </c>
      <c r="C138" s="5">
        <v>17.5</v>
      </c>
      <c r="D138" t="s">
        <v>20</v>
      </c>
    </row>
    <row r="139" spans="1:5" x14ac:dyDescent="0.2">
      <c r="A139" t="s">
        <v>4</v>
      </c>
      <c r="C139" s="5">
        <v>500</v>
      </c>
      <c r="D139" t="s">
        <v>1</v>
      </c>
      <c r="E139" s="1"/>
    </row>
    <row r="140" spans="1:5" x14ac:dyDescent="0.2">
      <c r="A140" t="s">
        <v>220</v>
      </c>
      <c r="C140" s="5">
        <v>0.13</v>
      </c>
      <c r="D140" t="s">
        <v>198</v>
      </c>
    </row>
    <row r="141" spans="1:5" x14ac:dyDescent="0.2">
      <c r="A141" t="s">
        <v>199</v>
      </c>
      <c r="C141" s="5">
        <v>6</v>
      </c>
      <c r="D141" t="s">
        <v>198</v>
      </c>
      <c r="E141" t="s">
        <v>184</v>
      </c>
    </row>
    <row r="142" spans="1:5" x14ac:dyDescent="0.2">
      <c r="A142" t="s">
        <v>214</v>
      </c>
      <c r="C142" s="5">
        <v>1.6</v>
      </c>
      <c r="D142" t="s">
        <v>198</v>
      </c>
    </row>
    <row r="143" spans="1:5" x14ac:dyDescent="0.2">
      <c r="A143" t="s">
        <v>219</v>
      </c>
      <c r="C143" s="5">
        <f>3/2</f>
        <v>1.5</v>
      </c>
      <c r="D143" t="s">
        <v>198</v>
      </c>
    </row>
    <row r="144" spans="1:5" x14ac:dyDescent="0.2">
      <c r="A144" t="s">
        <v>30</v>
      </c>
      <c r="C144" s="7">
        <v>0.6</v>
      </c>
      <c r="D144" t="s">
        <v>20</v>
      </c>
      <c r="E144" s="3" t="s">
        <v>184</v>
      </c>
    </row>
    <row r="145" spans="1:5" x14ac:dyDescent="0.2">
      <c r="A145" t="s">
        <v>29</v>
      </c>
      <c r="C145" s="7">
        <v>3</v>
      </c>
      <c r="D145" t="s">
        <v>20</v>
      </c>
      <c r="E145" s="3" t="s">
        <v>184</v>
      </c>
    </row>
    <row r="146" spans="1:5" x14ac:dyDescent="0.2">
      <c r="A146" t="s">
        <v>470</v>
      </c>
      <c r="C146" s="23">
        <f>46.7/8.06</f>
        <v>5.7940446650124073</v>
      </c>
      <c r="D146" t="s">
        <v>20</v>
      </c>
      <c r="E146" s="3"/>
    </row>
    <row r="147" spans="1:5" x14ac:dyDescent="0.2">
      <c r="A147" t="s">
        <v>471</v>
      </c>
      <c r="C147" s="7">
        <v>2.7</v>
      </c>
      <c r="D147" t="s">
        <v>20</v>
      </c>
      <c r="E147" s="3"/>
    </row>
    <row r="148" spans="1:5" x14ac:dyDescent="0.2">
      <c r="A148" t="s">
        <v>472</v>
      </c>
      <c r="C148" s="7">
        <v>2.7</v>
      </c>
      <c r="D148" t="s">
        <v>20</v>
      </c>
      <c r="E148" s="3"/>
    </row>
    <row r="149" spans="1:5" x14ac:dyDescent="0.2">
      <c r="A149" t="s">
        <v>477</v>
      </c>
      <c r="C149" s="7">
        <v>0.7</v>
      </c>
      <c r="D149" t="s">
        <v>20</v>
      </c>
      <c r="E149" s="3"/>
    </row>
    <row r="150" spans="1:5" x14ac:dyDescent="0.2">
      <c r="A150" t="s">
        <v>476</v>
      </c>
      <c r="C150" s="7">
        <v>0.75</v>
      </c>
      <c r="D150" t="s">
        <v>20</v>
      </c>
      <c r="E150" s="3"/>
    </row>
    <row r="151" spans="1:5" x14ac:dyDescent="0.2">
      <c r="A151" t="s">
        <v>473</v>
      </c>
      <c r="C151" s="7">
        <v>1.0249999999999999</v>
      </c>
      <c r="D151" t="s">
        <v>20</v>
      </c>
      <c r="E151" s="3"/>
    </row>
    <row r="152" spans="1:5" x14ac:dyDescent="0.2">
      <c r="A152" t="s">
        <v>478</v>
      </c>
      <c r="C152" s="7">
        <v>1.1000000000000001</v>
      </c>
      <c r="D152" t="s">
        <v>20</v>
      </c>
      <c r="E152" s="3"/>
    </row>
    <row r="153" spans="1:5" x14ac:dyDescent="0.2">
      <c r="A153" t="s">
        <v>479</v>
      </c>
      <c r="C153" s="7">
        <v>1.4</v>
      </c>
      <c r="D153" t="s">
        <v>20</v>
      </c>
      <c r="E153" s="3"/>
    </row>
    <row r="154" spans="1:5" x14ac:dyDescent="0.2">
      <c r="A154" t="s">
        <v>474</v>
      </c>
      <c r="C154" s="7">
        <v>2.8</v>
      </c>
      <c r="D154" t="s">
        <v>20</v>
      </c>
      <c r="E154" s="3"/>
    </row>
    <row r="155" spans="1:5" x14ac:dyDescent="0.2">
      <c r="A155" t="s">
        <v>479</v>
      </c>
      <c r="C155" s="7">
        <v>1.85</v>
      </c>
      <c r="D155" t="s">
        <v>20</v>
      </c>
      <c r="E155" s="3"/>
    </row>
    <row r="156" spans="1:5" x14ac:dyDescent="0.2">
      <c r="A156" t="s">
        <v>480</v>
      </c>
      <c r="C156" s="7">
        <v>1.5</v>
      </c>
      <c r="D156" t="s">
        <v>20</v>
      </c>
      <c r="E156" s="3"/>
    </row>
    <row r="157" spans="1:5" x14ac:dyDescent="0.2">
      <c r="A157" t="s">
        <v>475</v>
      </c>
      <c r="C157" s="7">
        <v>2.0499999999999998</v>
      </c>
      <c r="D157" t="s">
        <v>20</v>
      </c>
      <c r="E157" s="3"/>
    </row>
    <row r="158" spans="1:5" x14ac:dyDescent="0.2">
      <c r="A158" t="s">
        <v>51</v>
      </c>
      <c r="C158" s="7">
        <v>24.4</v>
      </c>
      <c r="D158" t="s">
        <v>20</v>
      </c>
      <c r="E158" s="3" t="s">
        <v>184</v>
      </c>
    </row>
    <row r="159" spans="1:5" x14ac:dyDescent="0.2">
      <c r="A159" t="s">
        <v>246</v>
      </c>
      <c r="C159" s="5">
        <v>2705</v>
      </c>
      <c r="D159" t="s">
        <v>1</v>
      </c>
      <c r="E159" s="3"/>
    </row>
    <row r="160" spans="1:5" x14ac:dyDescent="0.2">
      <c r="A160" t="s">
        <v>247</v>
      </c>
      <c r="C160" s="5">
        <v>8587</v>
      </c>
      <c r="D160" t="s">
        <v>1</v>
      </c>
    </row>
    <row r="161" spans="1:5" x14ac:dyDescent="0.2">
      <c r="A161" t="s">
        <v>260</v>
      </c>
      <c r="C161" s="5">
        <v>7850</v>
      </c>
      <c r="D161" t="s">
        <v>1</v>
      </c>
    </row>
    <row r="162" spans="1:5" x14ac:dyDescent="0.2">
      <c r="A162" t="s">
        <v>248</v>
      </c>
      <c r="C162" s="5">
        <v>7840</v>
      </c>
      <c r="D162" t="s">
        <v>1</v>
      </c>
    </row>
    <row r="163" spans="1:5" x14ac:dyDescent="0.2">
      <c r="A163" t="s">
        <v>249</v>
      </c>
      <c r="C163" s="5">
        <v>7300</v>
      </c>
      <c r="D163" t="s">
        <v>1</v>
      </c>
    </row>
    <row r="164" spans="1:5" x14ac:dyDescent="0.2">
      <c r="A164" t="s">
        <v>250</v>
      </c>
      <c r="C164" s="5">
        <v>8944</v>
      </c>
      <c r="D164" t="s">
        <v>1</v>
      </c>
      <c r="E164" s="3" t="s">
        <v>184</v>
      </c>
    </row>
    <row r="165" spans="1:5" x14ac:dyDescent="0.2">
      <c r="A165" t="s">
        <v>251</v>
      </c>
      <c r="C165" s="5">
        <v>11343</v>
      </c>
      <c r="D165" t="s">
        <v>1</v>
      </c>
    </row>
    <row r="166" spans="1:5" x14ac:dyDescent="0.2">
      <c r="A166" t="s">
        <v>252</v>
      </c>
      <c r="C166" s="5">
        <v>7870</v>
      </c>
      <c r="D166" t="s">
        <v>1</v>
      </c>
    </row>
    <row r="167" spans="1:5" x14ac:dyDescent="0.2">
      <c r="A167" t="s">
        <v>253</v>
      </c>
      <c r="C167" s="5">
        <v>7860</v>
      </c>
      <c r="D167" t="s">
        <v>1</v>
      </c>
    </row>
    <row r="168" spans="1:5" x14ac:dyDescent="0.2">
      <c r="A168" t="s">
        <v>254</v>
      </c>
      <c r="C168" s="5">
        <v>8030</v>
      </c>
      <c r="D168" t="s">
        <v>1</v>
      </c>
      <c r="E168" s="3" t="s">
        <v>184</v>
      </c>
    </row>
    <row r="169" spans="1:5" x14ac:dyDescent="0.2">
      <c r="A169" t="s">
        <v>255</v>
      </c>
      <c r="C169" s="5">
        <v>7260</v>
      </c>
      <c r="D169" t="s">
        <v>1</v>
      </c>
    </row>
    <row r="170" spans="1:5" x14ac:dyDescent="0.2">
      <c r="A170" t="s">
        <v>256</v>
      </c>
      <c r="C170" s="5">
        <v>4520</v>
      </c>
      <c r="D170" t="s">
        <v>1</v>
      </c>
    </row>
    <row r="171" spans="1:5" x14ac:dyDescent="0.2">
      <c r="A171" t="s">
        <v>257</v>
      </c>
      <c r="C171" s="5">
        <v>19450</v>
      </c>
      <c r="D171" t="s">
        <v>1</v>
      </c>
    </row>
    <row r="172" spans="1:5" x14ac:dyDescent="0.2">
      <c r="A172" t="s">
        <v>258</v>
      </c>
      <c r="C172" s="5">
        <v>7750</v>
      </c>
      <c r="D172" t="s">
        <v>1</v>
      </c>
    </row>
    <row r="173" spans="1:5" x14ac:dyDescent="0.2">
      <c r="A173" t="s">
        <v>259</v>
      </c>
      <c r="C173" s="5">
        <v>7068</v>
      </c>
      <c r="D173" t="s">
        <v>1</v>
      </c>
      <c r="E173" s="3" t="s">
        <v>184</v>
      </c>
    </row>
    <row r="174" spans="1:5" x14ac:dyDescent="0.2">
      <c r="A174" t="s">
        <v>242</v>
      </c>
      <c r="C174" s="5">
        <v>46.08</v>
      </c>
      <c r="D174" t="s">
        <v>20</v>
      </c>
    </row>
    <row r="175" spans="1:5" x14ac:dyDescent="0.2">
      <c r="A175" t="s">
        <v>243</v>
      </c>
      <c r="C175" s="5">
        <v>39.04</v>
      </c>
      <c r="D175" t="s">
        <v>20</v>
      </c>
    </row>
    <row r="176" spans="1:5" x14ac:dyDescent="0.2">
      <c r="A176" t="s">
        <v>240</v>
      </c>
      <c r="C176" s="5">
        <v>24.47</v>
      </c>
      <c r="D176" t="s">
        <v>20</v>
      </c>
    </row>
    <row r="177" spans="1:4" x14ac:dyDescent="0.2">
      <c r="A177" t="s">
        <v>241</v>
      </c>
      <c r="C177" s="5">
        <v>39.04</v>
      </c>
      <c r="D177" t="s">
        <v>20</v>
      </c>
    </row>
    <row r="178" spans="1:4" x14ac:dyDescent="0.2">
      <c r="A178" t="s">
        <v>244</v>
      </c>
      <c r="B178" s="5">
        <v>25</v>
      </c>
      <c r="C178" s="5">
        <v>35</v>
      </c>
      <c r="D178" t="s">
        <v>20</v>
      </c>
    </row>
    <row r="179" spans="1:4" x14ac:dyDescent="0.2">
      <c r="A179" t="s">
        <v>230</v>
      </c>
      <c r="C179" s="5">
        <v>25</v>
      </c>
      <c r="D179" t="s">
        <v>20</v>
      </c>
    </row>
    <row r="180" spans="1:4" x14ac:dyDescent="0.2">
      <c r="A180" t="s">
        <v>231</v>
      </c>
      <c r="C180" s="5">
        <v>30.18</v>
      </c>
      <c r="D180" t="s">
        <v>20</v>
      </c>
    </row>
    <row r="181" spans="1:4" x14ac:dyDescent="0.2">
      <c r="A181" t="s">
        <v>116</v>
      </c>
      <c r="C181" s="5">
        <v>9.9</v>
      </c>
      <c r="D181" t="s">
        <v>20</v>
      </c>
    </row>
    <row r="182" spans="1:4" x14ac:dyDescent="0.2">
      <c r="A182" t="s">
        <v>117</v>
      </c>
      <c r="C182" s="5">
        <v>12.5</v>
      </c>
      <c r="D182" t="s">
        <v>20</v>
      </c>
    </row>
    <row r="183" spans="1:4" x14ac:dyDescent="0.2">
      <c r="A183" t="s">
        <v>266</v>
      </c>
      <c r="C183" s="5">
        <v>102.4</v>
      </c>
      <c r="D183" t="s">
        <v>20</v>
      </c>
    </row>
    <row r="184" spans="1:4" x14ac:dyDescent="0.2">
      <c r="A184" t="s">
        <v>267</v>
      </c>
      <c r="C184" s="5">
        <v>106.25</v>
      </c>
      <c r="D184" t="s">
        <v>20</v>
      </c>
    </row>
    <row r="185" spans="1:4" x14ac:dyDescent="0.2">
      <c r="A185" t="s">
        <v>272</v>
      </c>
      <c r="C185" s="5">
        <v>39</v>
      </c>
      <c r="D185" t="s">
        <v>20</v>
      </c>
    </row>
    <row r="186" spans="1:4" x14ac:dyDescent="0.2">
      <c r="A186" t="s">
        <v>271</v>
      </c>
      <c r="C186" s="5">
        <v>144</v>
      </c>
      <c r="D186" t="s">
        <v>20</v>
      </c>
    </row>
    <row r="187" spans="1:4" x14ac:dyDescent="0.2">
      <c r="A187" t="s">
        <v>270</v>
      </c>
      <c r="C187" s="5">
        <v>114.75</v>
      </c>
      <c r="D187" t="s">
        <v>20</v>
      </c>
    </row>
    <row r="188" spans="1:4" x14ac:dyDescent="0.2">
      <c r="A188" t="s">
        <v>274</v>
      </c>
      <c r="C188" s="5">
        <v>187.5</v>
      </c>
      <c r="D188" t="s">
        <v>20</v>
      </c>
    </row>
    <row r="189" spans="1:4" x14ac:dyDescent="0.2">
      <c r="A189" t="s">
        <v>268</v>
      </c>
      <c r="C189" s="5">
        <v>187.5</v>
      </c>
      <c r="D189" t="s">
        <v>20</v>
      </c>
    </row>
    <row r="190" spans="1:4" x14ac:dyDescent="0.2">
      <c r="A190" t="s">
        <v>269</v>
      </c>
      <c r="C190" s="5">
        <v>165</v>
      </c>
      <c r="D190" t="s">
        <v>20</v>
      </c>
    </row>
    <row r="191" spans="1:4" x14ac:dyDescent="0.2">
      <c r="A191" t="s">
        <v>275</v>
      </c>
      <c r="C191" s="5">
        <v>175</v>
      </c>
      <c r="D191" t="s">
        <v>20</v>
      </c>
    </row>
    <row r="192" spans="1:4" x14ac:dyDescent="0.2">
      <c r="A192" t="s">
        <v>273</v>
      </c>
      <c r="C192" s="5">
        <v>187</v>
      </c>
      <c r="D192" t="s">
        <v>20</v>
      </c>
    </row>
    <row r="193" spans="1:5" x14ac:dyDescent="0.2">
      <c r="A193" t="s">
        <v>265</v>
      </c>
      <c r="C193" s="5">
        <v>115</v>
      </c>
      <c r="D193" t="s">
        <v>20</v>
      </c>
    </row>
    <row r="194" spans="1:5" x14ac:dyDescent="0.2">
      <c r="A194" s="18" t="s">
        <v>0</v>
      </c>
      <c r="B194" s="19">
        <v>560</v>
      </c>
      <c r="C194" s="19">
        <v>640</v>
      </c>
      <c r="D194" s="18" t="s">
        <v>1</v>
      </c>
      <c r="E194" s="20" t="s">
        <v>184</v>
      </c>
    </row>
    <row r="195" spans="1:5" x14ac:dyDescent="0.2">
      <c r="A195" t="s">
        <v>14</v>
      </c>
      <c r="C195" s="5">
        <v>670</v>
      </c>
      <c r="D195" t="s">
        <v>1</v>
      </c>
      <c r="E195" s="3" t="s">
        <v>184</v>
      </c>
    </row>
    <row r="196" spans="1:5" x14ac:dyDescent="0.2">
      <c r="A196" t="s">
        <v>6</v>
      </c>
      <c r="C196" s="5">
        <v>1010</v>
      </c>
      <c r="D196" t="s">
        <v>1</v>
      </c>
      <c r="E196" s="3" t="s">
        <v>184</v>
      </c>
    </row>
    <row r="197" spans="1:5" x14ac:dyDescent="0.2">
      <c r="A197" t="s">
        <v>225</v>
      </c>
      <c r="C197" s="5">
        <v>8</v>
      </c>
      <c r="D197" t="s">
        <v>212</v>
      </c>
    </row>
    <row r="198" spans="1:5" x14ac:dyDescent="0.2">
      <c r="A198" t="s">
        <v>224</v>
      </c>
      <c r="C198" s="5">
        <v>8</v>
      </c>
      <c r="D198" t="s">
        <v>212</v>
      </c>
    </row>
    <row r="199" spans="1:5" x14ac:dyDescent="0.2">
      <c r="A199" t="s">
        <v>229</v>
      </c>
      <c r="C199" s="5">
        <v>27.01</v>
      </c>
      <c r="D199" t="s">
        <v>212</v>
      </c>
    </row>
    <row r="200" spans="1:5" x14ac:dyDescent="0.2">
      <c r="A200" t="s">
        <v>226</v>
      </c>
      <c r="C200" s="5">
        <v>112</v>
      </c>
      <c r="D200" t="s">
        <v>212</v>
      </c>
    </row>
    <row r="201" spans="1:5" x14ac:dyDescent="0.2">
      <c r="A201" t="s">
        <v>417</v>
      </c>
      <c r="C201" s="5">
        <v>190</v>
      </c>
      <c r="D201" t="s">
        <v>212</v>
      </c>
    </row>
    <row r="202" spans="1:5" x14ac:dyDescent="0.2">
      <c r="A202" t="s">
        <v>221</v>
      </c>
      <c r="C202" s="5">
        <v>37</v>
      </c>
      <c r="D202" t="s">
        <v>212</v>
      </c>
      <c r="E202" t="s">
        <v>184</v>
      </c>
    </row>
    <row r="203" spans="1:5" x14ac:dyDescent="0.2">
      <c r="A203" t="s">
        <v>223</v>
      </c>
      <c r="C203" s="5">
        <v>65</v>
      </c>
      <c r="D203" t="s">
        <v>212</v>
      </c>
      <c r="E203" t="s">
        <v>184</v>
      </c>
    </row>
    <row r="204" spans="1:5" x14ac:dyDescent="0.2">
      <c r="A204" t="s">
        <v>222</v>
      </c>
      <c r="C204" s="5">
        <v>24</v>
      </c>
      <c r="D204" t="s">
        <v>212</v>
      </c>
      <c r="E204" t="s">
        <v>184</v>
      </c>
    </row>
    <row r="205" spans="1:5" x14ac:dyDescent="0.2">
      <c r="A205" t="s">
        <v>418</v>
      </c>
      <c r="C205" s="5">
        <v>0.3</v>
      </c>
      <c r="D205" t="s">
        <v>198</v>
      </c>
      <c r="E205" t="s">
        <v>184</v>
      </c>
    </row>
    <row r="206" spans="1:5" x14ac:dyDescent="0.2">
      <c r="A206" t="s">
        <v>419</v>
      </c>
      <c r="C206" s="5">
        <v>0.5</v>
      </c>
      <c r="D206" t="s">
        <v>198</v>
      </c>
      <c r="E206" t="s">
        <v>184</v>
      </c>
    </row>
    <row r="207" spans="1:5" x14ac:dyDescent="0.2">
      <c r="A207" t="s">
        <v>420</v>
      </c>
      <c r="C207" s="5">
        <v>0.7</v>
      </c>
      <c r="D207" t="s">
        <v>198</v>
      </c>
      <c r="E207" t="s">
        <v>184</v>
      </c>
    </row>
    <row r="208" spans="1:5" x14ac:dyDescent="0.2">
      <c r="A208" t="s">
        <v>421</v>
      </c>
      <c r="C208" s="5">
        <v>1</v>
      </c>
      <c r="D208" t="s">
        <v>198</v>
      </c>
      <c r="E208" t="s">
        <v>184</v>
      </c>
    </row>
    <row r="209" spans="1:5" x14ac:dyDescent="0.2">
      <c r="A209" t="s">
        <v>422</v>
      </c>
      <c r="C209" s="5">
        <v>1.6</v>
      </c>
      <c r="D209" t="s">
        <v>198</v>
      </c>
      <c r="E209" t="s">
        <v>184</v>
      </c>
    </row>
    <row r="210" spans="1:5" x14ac:dyDescent="0.2">
      <c r="A210" t="s">
        <v>423</v>
      </c>
      <c r="C210" s="5">
        <v>2.5</v>
      </c>
      <c r="D210" t="s">
        <v>198</v>
      </c>
      <c r="E210" t="s">
        <v>184</v>
      </c>
    </row>
    <row r="211" spans="1:5" x14ac:dyDescent="0.2">
      <c r="A211" t="s">
        <v>424</v>
      </c>
      <c r="C211" s="5">
        <v>3.2</v>
      </c>
      <c r="D211" t="s">
        <v>198</v>
      </c>
      <c r="E211" t="s">
        <v>184</v>
      </c>
    </row>
    <row r="212" spans="1:5" x14ac:dyDescent="0.2">
      <c r="A212" t="s">
        <v>425</v>
      </c>
      <c r="C212" s="5">
        <v>5.7</v>
      </c>
      <c r="D212" t="s">
        <v>198</v>
      </c>
      <c r="E212" t="s">
        <v>184</v>
      </c>
    </row>
    <row r="213" spans="1:5" x14ac:dyDescent="0.2">
      <c r="A213" t="s">
        <v>434</v>
      </c>
      <c r="C213" s="5">
        <v>0.14000000000000001</v>
      </c>
      <c r="D213" t="s">
        <v>198</v>
      </c>
    </row>
    <row r="214" spans="1:5" x14ac:dyDescent="0.2">
      <c r="A214" t="s">
        <v>435</v>
      </c>
      <c r="C214" s="5">
        <v>0.2</v>
      </c>
      <c r="D214" t="s">
        <v>198</v>
      </c>
    </row>
    <row r="215" spans="1:5" x14ac:dyDescent="0.2">
      <c r="A215" t="s">
        <v>432</v>
      </c>
      <c r="C215" s="5">
        <v>0.3</v>
      </c>
      <c r="D215" t="s">
        <v>198</v>
      </c>
    </row>
    <row r="216" spans="1:5" x14ac:dyDescent="0.2">
      <c r="A216" t="s">
        <v>433</v>
      </c>
      <c r="C216" s="5">
        <v>0.4</v>
      </c>
      <c r="D216" t="s">
        <v>198</v>
      </c>
    </row>
    <row r="217" spans="1:5" x14ac:dyDescent="0.2">
      <c r="A217" t="s">
        <v>426</v>
      </c>
      <c r="C217" s="5">
        <v>0.6</v>
      </c>
      <c r="D217" t="s">
        <v>198</v>
      </c>
    </row>
    <row r="218" spans="1:5" x14ac:dyDescent="0.2">
      <c r="A218" t="s">
        <v>427</v>
      </c>
      <c r="C218" s="5">
        <v>0.9</v>
      </c>
      <c r="D218" t="s">
        <v>198</v>
      </c>
    </row>
    <row r="219" spans="1:5" x14ac:dyDescent="0.2">
      <c r="A219" t="s">
        <v>428</v>
      </c>
      <c r="C219" s="5">
        <v>1.4</v>
      </c>
      <c r="D219" t="s">
        <v>198</v>
      </c>
    </row>
    <row r="220" spans="1:5" x14ac:dyDescent="0.2">
      <c r="A220" t="s">
        <v>429</v>
      </c>
      <c r="C220" s="5">
        <v>1.9</v>
      </c>
      <c r="D220" t="s">
        <v>198</v>
      </c>
    </row>
    <row r="221" spans="1:5" x14ac:dyDescent="0.2">
      <c r="A221" t="s">
        <v>430</v>
      </c>
      <c r="C221" s="5">
        <v>3.1</v>
      </c>
      <c r="D221" t="s">
        <v>198</v>
      </c>
    </row>
    <row r="222" spans="1:5" x14ac:dyDescent="0.2">
      <c r="A222" t="s">
        <v>431</v>
      </c>
      <c r="C222" s="5">
        <v>4.5999999999999996</v>
      </c>
      <c r="D222" t="s">
        <v>198</v>
      </c>
    </row>
    <row r="223" spans="1:5" x14ac:dyDescent="0.2">
      <c r="A223" t="s">
        <v>436</v>
      </c>
      <c r="C223" s="5">
        <v>0.68</v>
      </c>
      <c r="D223" t="s">
        <v>198</v>
      </c>
    </row>
    <row r="224" spans="1:5" x14ac:dyDescent="0.2">
      <c r="A224" t="s">
        <v>437</v>
      </c>
      <c r="C224" s="5">
        <v>0.89</v>
      </c>
      <c r="D224" t="s">
        <v>198</v>
      </c>
    </row>
    <row r="225" spans="1:4" x14ac:dyDescent="0.2">
      <c r="A225" t="s">
        <v>439</v>
      </c>
      <c r="C225" s="5">
        <v>1.27</v>
      </c>
      <c r="D225" t="s">
        <v>198</v>
      </c>
    </row>
    <row r="226" spans="1:4" x14ac:dyDescent="0.2">
      <c r="A226" t="s">
        <v>438</v>
      </c>
      <c r="C226" s="5">
        <v>1.65</v>
      </c>
      <c r="D226" t="s">
        <v>198</v>
      </c>
    </row>
    <row r="227" spans="1:4" x14ac:dyDescent="0.2">
      <c r="A227" t="s">
        <v>440</v>
      </c>
      <c r="C227" s="5">
        <v>2.52</v>
      </c>
      <c r="D227" t="s">
        <v>198</v>
      </c>
    </row>
    <row r="228" spans="1:4" x14ac:dyDescent="0.2">
      <c r="A228" t="s">
        <v>441</v>
      </c>
      <c r="C228" s="5">
        <v>3.24</v>
      </c>
      <c r="D228" t="s">
        <v>198</v>
      </c>
    </row>
    <row r="229" spans="1:4" x14ac:dyDescent="0.2">
      <c r="A229" t="s">
        <v>442</v>
      </c>
      <c r="C229" s="5">
        <v>3.73</v>
      </c>
      <c r="D229" t="s">
        <v>198</v>
      </c>
    </row>
    <row r="230" spans="1:4" x14ac:dyDescent="0.2">
      <c r="A230" t="s">
        <v>443</v>
      </c>
      <c r="C230" s="5">
        <v>5.24</v>
      </c>
      <c r="D230" t="s">
        <v>198</v>
      </c>
    </row>
    <row r="231" spans="1:4" x14ac:dyDescent="0.2">
      <c r="A231" t="s">
        <v>444</v>
      </c>
      <c r="C231" s="5">
        <v>6.69</v>
      </c>
      <c r="D231" t="s">
        <v>198</v>
      </c>
    </row>
    <row r="232" spans="1:4" x14ac:dyDescent="0.2">
      <c r="A232" t="s">
        <v>445</v>
      </c>
      <c r="C232" s="5">
        <v>8.68</v>
      </c>
      <c r="D232" t="s">
        <v>198</v>
      </c>
    </row>
    <row r="233" spans="1:4" x14ac:dyDescent="0.2">
      <c r="A233" t="s">
        <v>446</v>
      </c>
      <c r="C233" s="5">
        <v>0.3</v>
      </c>
      <c r="D233" t="s">
        <v>198</v>
      </c>
    </row>
    <row r="234" spans="1:4" x14ac:dyDescent="0.2">
      <c r="A234" t="s">
        <v>447</v>
      </c>
      <c r="C234" s="5">
        <v>0.42</v>
      </c>
      <c r="D234" t="s">
        <v>198</v>
      </c>
    </row>
    <row r="235" spans="1:4" x14ac:dyDescent="0.2">
      <c r="A235" t="s">
        <v>448</v>
      </c>
      <c r="C235" s="5">
        <v>0.52</v>
      </c>
      <c r="D235" t="s">
        <v>198</v>
      </c>
    </row>
    <row r="236" spans="1:4" x14ac:dyDescent="0.2">
      <c r="A236" t="s">
        <v>449</v>
      </c>
      <c r="C236" s="5">
        <v>0.83</v>
      </c>
      <c r="D236" t="s">
        <v>198</v>
      </c>
    </row>
    <row r="237" spans="1:4" x14ac:dyDescent="0.2">
      <c r="A237" t="s">
        <v>450</v>
      </c>
      <c r="C237" s="5">
        <v>1.05</v>
      </c>
      <c r="D237" t="s">
        <v>198</v>
      </c>
    </row>
    <row r="238" spans="1:4" x14ac:dyDescent="0.2">
      <c r="A238" t="s">
        <v>451</v>
      </c>
      <c r="C238" s="5">
        <v>1.27</v>
      </c>
      <c r="D238" t="s">
        <v>198</v>
      </c>
    </row>
    <row r="239" spans="1:4" x14ac:dyDescent="0.2">
      <c r="A239" t="s">
        <v>452</v>
      </c>
      <c r="C239" s="5">
        <v>1.48</v>
      </c>
      <c r="D239" t="s">
        <v>198</v>
      </c>
    </row>
    <row r="240" spans="1:4" x14ac:dyDescent="0.2">
      <c r="A240" t="s">
        <v>453</v>
      </c>
      <c r="C240" s="5">
        <v>1.7</v>
      </c>
      <c r="D240" t="s">
        <v>198</v>
      </c>
    </row>
    <row r="241" spans="1:5" x14ac:dyDescent="0.2">
      <c r="A241" t="s">
        <v>454</v>
      </c>
      <c r="C241" s="5">
        <v>2.14</v>
      </c>
      <c r="D241" t="s">
        <v>198</v>
      </c>
    </row>
    <row r="242" spans="1:5" x14ac:dyDescent="0.2">
      <c r="A242" t="s">
        <v>455</v>
      </c>
      <c r="C242" s="5">
        <v>3.42</v>
      </c>
      <c r="D242" t="s">
        <v>198</v>
      </c>
    </row>
    <row r="243" spans="1:5" x14ac:dyDescent="0.2">
      <c r="A243" t="s">
        <v>213</v>
      </c>
      <c r="C243" s="5">
        <v>53</v>
      </c>
      <c r="D243" t="s">
        <v>212</v>
      </c>
    </row>
    <row r="244" spans="1:5" x14ac:dyDescent="0.2">
      <c r="A244" t="s">
        <v>211</v>
      </c>
      <c r="C244" s="5">
        <v>36</v>
      </c>
      <c r="D244" t="s">
        <v>212</v>
      </c>
    </row>
    <row r="245" spans="1:5" x14ac:dyDescent="0.2">
      <c r="A245" t="s">
        <v>227</v>
      </c>
      <c r="C245" s="5">
        <v>28</v>
      </c>
      <c r="D245" t="s">
        <v>212</v>
      </c>
    </row>
    <row r="246" spans="1:5" x14ac:dyDescent="0.2">
      <c r="A246" t="s">
        <v>228</v>
      </c>
      <c r="C246" s="5">
        <v>15</v>
      </c>
      <c r="D246" t="s">
        <v>212</v>
      </c>
    </row>
    <row r="247" spans="1:5" x14ac:dyDescent="0.2">
      <c r="A247" t="s">
        <v>19</v>
      </c>
      <c r="C247" s="5">
        <v>1800</v>
      </c>
      <c r="D247" t="s">
        <v>1</v>
      </c>
      <c r="E247" s="3" t="s">
        <v>184</v>
      </c>
    </row>
    <row r="248" spans="1:5" x14ac:dyDescent="0.2">
      <c r="A248" t="s">
        <v>23</v>
      </c>
      <c r="C248" s="5">
        <v>22</v>
      </c>
      <c r="D248" t="s">
        <v>20</v>
      </c>
      <c r="E248" s="3" t="s">
        <v>184</v>
      </c>
    </row>
    <row r="249" spans="1:5" x14ac:dyDescent="0.2">
      <c r="A249" t="s">
        <v>22</v>
      </c>
      <c r="C249" s="5">
        <v>14</v>
      </c>
      <c r="D249" t="s">
        <v>20</v>
      </c>
      <c r="E249" s="3" t="s">
        <v>184</v>
      </c>
    </row>
    <row r="250" spans="1:5" x14ac:dyDescent="0.2">
      <c r="A250" t="s">
        <v>21</v>
      </c>
      <c r="C250" s="5">
        <v>17</v>
      </c>
      <c r="D250" t="s">
        <v>20</v>
      </c>
      <c r="E250" s="3" t="s">
        <v>184</v>
      </c>
    </row>
    <row r="251" spans="1:5" x14ac:dyDescent="0.2">
      <c r="A251" t="s">
        <v>52</v>
      </c>
      <c r="C251" s="7">
        <v>29.3</v>
      </c>
      <c r="D251" t="s">
        <v>20</v>
      </c>
      <c r="E251" s="3" t="s">
        <v>184</v>
      </c>
    </row>
    <row r="252" spans="1:5" x14ac:dyDescent="0.2">
      <c r="A252" t="s">
        <v>262</v>
      </c>
      <c r="C252" s="5">
        <v>319</v>
      </c>
      <c r="D252" t="s">
        <v>20</v>
      </c>
    </row>
    <row r="253" spans="1:5" x14ac:dyDescent="0.2">
      <c r="A253" t="s">
        <v>263</v>
      </c>
      <c r="C253" s="5">
        <v>374</v>
      </c>
      <c r="D253" t="s">
        <v>20</v>
      </c>
    </row>
    <row r="254" spans="1:5" x14ac:dyDescent="0.2">
      <c r="A254" t="s">
        <v>261</v>
      </c>
      <c r="C254" s="5">
        <v>200</v>
      </c>
      <c r="D254" t="s">
        <v>20</v>
      </c>
    </row>
    <row r="255" spans="1:5" x14ac:dyDescent="0.2">
      <c r="A255" t="s">
        <v>264</v>
      </c>
      <c r="C255" s="5">
        <v>439.24</v>
      </c>
      <c r="D255" t="s">
        <v>20</v>
      </c>
    </row>
    <row r="256" spans="1:5" x14ac:dyDescent="0.2">
      <c r="A256" t="s">
        <v>60</v>
      </c>
      <c r="C256" s="7">
        <v>3.9</v>
      </c>
      <c r="D256" t="s">
        <v>20</v>
      </c>
    </row>
    <row r="257" spans="1:4" x14ac:dyDescent="0.2">
      <c r="A257" t="s">
        <v>61</v>
      </c>
      <c r="C257" s="7">
        <v>4.9000000000000004</v>
      </c>
      <c r="D257" t="s">
        <v>20</v>
      </c>
    </row>
    <row r="258" spans="1:4" x14ac:dyDescent="0.2">
      <c r="A258" t="s">
        <v>63</v>
      </c>
      <c r="C258" s="7">
        <v>2.9</v>
      </c>
      <c r="D258" t="s">
        <v>20</v>
      </c>
    </row>
    <row r="259" spans="1:4" x14ac:dyDescent="0.2">
      <c r="A259" t="s">
        <v>67</v>
      </c>
      <c r="C259" s="7">
        <v>43.9</v>
      </c>
      <c r="D259" t="s">
        <v>20</v>
      </c>
    </row>
    <row r="260" spans="1:4" x14ac:dyDescent="0.2">
      <c r="A260" t="s">
        <v>83</v>
      </c>
      <c r="C260" s="7">
        <v>29.6</v>
      </c>
      <c r="D260" t="s">
        <v>20</v>
      </c>
    </row>
    <row r="261" spans="1:4" x14ac:dyDescent="0.2">
      <c r="A261" t="s">
        <v>69</v>
      </c>
      <c r="C261" s="7">
        <v>53.7</v>
      </c>
      <c r="D261" t="s">
        <v>20</v>
      </c>
    </row>
    <row r="262" spans="1:4" x14ac:dyDescent="0.2">
      <c r="A262" t="s">
        <v>217</v>
      </c>
      <c r="C262" s="7">
        <v>1.48</v>
      </c>
      <c r="D262" t="s">
        <v>20</v>
      </c>
    </row>
    <row r="263" spans="1:4" x14ac:dyDescent="0.2">
      <c r="A263" t="s">
        <v>218</v>
      </c>
      <c r="C263" s="7">
        <v>2.99</v>
      </c>
      <c r="D263" t="s">
        <v>20</v>
      </c>
    </row>
    <row r="264" spans="1:4" x14ac:dyDescent="0.2">
      <c r="A264" t="s">
        <v>216</v>
      </c>
      <c r="C264" s="7">
        <v>2.77</v>
      </c>
      <c r="D264" t="s">
        <v>20</v>
      </c>
    </row>
    <row r="265" spans="1:4" x14ac:dyDescent="0.2">
      <c r="A265" t="s">
        <v>215</v>
      </c>
      <c r="C265" s="7">
        <v>3.73</v>
      </c>
      <c r="D265" t="s">
        <v>20</v>
      </c>
    </row>
    <row r="266" spans="1:4" x14ac:dyDescent="0.2">
      <c r="A266" t="s">
        <v>72</v>
      </c>
      <c r="C266" s="7">
        <v>24</v>
      </c>
      <c r="D266" t="s">
        <v>20</v>
      </c>
    </row>
    <row r="267" spans="1:4" x14ac:dyDescent="0.2">
      <c r="A267" t="s">
        <v>66</v>
      </c>
      <c r="C267" s="7">
        <v>7.8</v>
      </c>
      <c r="D267" t="s">
        <v>20</v>
      </c>
    </row>
    <row r="268" spans="1:4" x14ac:dyDescent="0.2">
      <c r="A268" t="s">
        <v>65</v>
      </c>
      <c r="C268" s="7">
        <v>9.8000000000000007</v>
      </c>
      <c r="D268" t="s">
        <v>20</v>
      </c>
    </row>
    <row r="269" spans="1:4" x14ac:dyDescent="0.2">
      <c r="A269" t="s">
        <v>64</v>
      </c>
      <c r="C269" s="7">
        <v>12</v>
      </c>
      <c r="D269" t="s">
        <v>20</v>
      </c>
    </row>
    <row r="270" spans="1:4" x14ac:dyDescent="0.2">
      <c r="A270" t="s">
        <v>62</v>
      </c>
      <c r="C270" s="7">
        <v>65</v>
      </c>
      <c r="D270" t="s">
        <v>20</v>
      </c>
    </row>
    <row r="271" spans="1:4" x14ac:dyDescent="0.2">
      <c r="A271" t="s">
        <v>84</v>
      </c>
      <c r="C271" s="7">
        <v>3.5</v>
      </c>
      <c r="D271" t="s">
        <v>20</v>
      </c>
    </row>
    <row r="272" spans="1:4" x14ac:dyDescent="0.2">
      <c r="A272" t="s">
        <v>70</v>
      </c>
      <c r="C272" s="7">
        <v>49.5</v>
      </c>
      <c r="D272" t="s">
        <v>20</v>
      </c>
    </row>
    <row r="273" spans="1:5" x14ac:dyDescent="0.2">
      <c r="A273" t="s">
        <v>71</v>
      </c>
      <c r="C273" s="7">
        <v>2.9</v>
      </c>
      <c r="D273" t="s">
        <v>20</v>
      </c>
    </row>
    <row r="274" spans="1:5" x14ac:dyDescent="0.2">
      <c r="A274" t="s">
        <v>101</v>
      </c>
      <c r="C274" s="7">
        <v>22</v>
      </c>
      <c r="D274" t="s">
        <v>20</v>
      </c>
    </row>
    <row r="275" spans="1:5" x14ac:dyDescent="0.2">
      <c r="A275" t="s">
        <v>102</v>
      </c>
      <c r="C275" s="7">
        <v>27.9</v>
      </c>
      <c r="D275" t="s">
        <v>20</v>
      </c>
    </row>
    <row r="276" spans="1:5" x14ac:dyDescent="0.2">
      <c r="A276" t="s">
        <v>68</v>
      </c>
      <c r="C276" s="7">
        <v>58.6</v>
      </c>
      <c r="D276" t="s">
        <v>20</v>
      </c>
    </row>
    <row r="277" spans="1:5" x14ac:dyDescent="0.2">
      <c r="A277" t="s">
        <v>82</v>
      </c>
      <c r="C277" s="7">
        <v>4.5</v>
      </c>
      <c r="D277" t="s">
        <v>20</v>
      </c>
    </row>
    <row r="278" spans="1:5" x14ac:dyDescent="0.2">
      <c r="A278" t="s">
        <v>12</v>
      </c>
      <c r="B278" s="5">
        <v>1540</v>
      </c>
      <c r="C278" s="5">
        <v>1600</v>
      </c>
      <c r="D278" t="s">
        <v>1</v>
      </c>
    </row>
    <row r="279" spans="1:5" x14ac:dyDescent="0.2">
      <c r="A279" t="s">
        <v>13</v>
      </c>
      <c r="B279" s="5">
        <v>1760</v>
      </c>
      <c r="C279" s="5">
        <v>2000</v>
      </c>
      <c r="D279" t="s">
        <v>1</v>
      </c>
    </row>
    <row r="280" spans="1:5" x14ac:dyDescent="0.2">
      <c r="A280" t="s">
        <v>100</v>
      </c>
      <c r="C280" s="5">
        <v>59.1</v>
      </c>
      <c r="D280" t="s">
        <v>20</v>
      </c>
    </row>
    <row r="281" spans="1:5" x14ac:dyDescent="0.2">
      <c r="A281" t="s">
        <v>99</v>
      </c>
      <c r="C281" s="5">
        <v>12.2</v>
      </c>
      <c r="D281" t="s">
        <v>20</v>
      </c>
    </row>
    <row r="282" spans="1:5" x14ac:dyDescent="0.2">
      <c r="A282" t="s">
        <v>298</v>
      </c>
      <c r="C282" s="5">
        <v>0.15</v>
      </c>
      <c r="D282" t="s">
        <v>198</v>
      </c>
    </row>
    <row r="283" spans="1:5" x14ac:dyDescent="0.2">
      <c r="A283" t="s">
        <v>299</v>
      </c>
      <c r="C283" s="5">
        <v>0.16</v>
      </c>
      <c r="D283" t="s">
        <v>198</v>
      </c>
    </row>
    <row r="284" spans="1:5" x14ac:dyDescent="0.2">
      <c r="A284" t="s">
        <v>297</v>
      </c>
      <c r="C284" s="5">
        <v>0.13</v>
      </c>
      <c r="D284" t="s">
        <v>198</v>
      </c>
    </row>
    <row r="285" spans="1:5" x14ac:dyDescent="0.2">
      <c r="A285" t="s">
        <v>129</v>
      </c>
      <c r="C285" s="5">
        <v>20</v>
      </c>
      <c r="D285" t="s">
        <v>20</v>
      </c>
      <c r="E285" s="3" t="s">
        <v>184</v>
      </c>
    </row>
    <row r="286" spans="1:5" x14ac:dyDescent="0.2">
      <c r="A286" t="s">
        <v>130</v>
      </c>
      <c r="C286" s="5">
        <v>22</v>
      </c>
      <c r="D286" t="s">
        <v>20</v>
      </c>
      <c r="E286" s="3" t="s">
        <v>184</v>
      </c>
    </row>
    <row r="287" spans="1:5" x14ac:dyDescent="0.2">
      <c r="A287" t="s">
        <v>127</v>
      </c>
      <c r="C287" s="5">
        <v>16.8</v>
      </c>
      <c r="D287" t="s">
        <v>20</v>
      </c>
    </row>
    <row r="288" spans="1:5" x14ac:dyDescent="0.2">
      <c r="A288" t="s">
        <v>143</v>
      </c>
      <c r="C288" s="5">
        <v>78.5</v>
      </c>
      <c r="D288" t="s">
        <v>20</v>
      </c>
    </row>
    <row r="289" spans="1:4" x14ac:dyDescent="0.2">
      <c r="A289" t="s">
        <v>144</v>
      </c>
      <c r="C289" s="5">
        <v>98.1</v>
      </c>
      <c r="D289" t="s">
        <v>20</v>
      </c>
    </row>
    <row r="290" spans="1:4" x14ac:dyDescent="0.2">
      <c r="A290" t="s">
        <v>145</v>
      </c>
      <c r="C290" s="5">
        <v>118</v>
      </c>
      <c r="D290" t="s">
        <v>20</v>
      </c>
    </row>
    <row r="291" spans="1:4" x14ac:dyDescent="0.2">
      <c r="A291" t="s">
        <v>139</v>
      </c>
      <c r="C291" s="5">
        <v>23.55</v>
      </c>
      <c r="D291" t="s">
        <v>20</v>
      </c>
    </row>
    <row r="292" spans="1:4" x14ac:dyDescent="0.2">
      <c r="A292" t="s">
        <v>140</v>
      </c>
      <c r="C292" s="5">
        <v>31.4</v>
      </c>
      <c r="D292" t="s">
        <v>20</v>
      </c>
    </row>
    <row r="293" spans="1:4" x14ac:dyDescent="0.2">
      <c r="A293" t="s">
        <v>141</v>
      </c>
      <c r="C293" s="5">
        <v>39.25</v>
      </c>
      <c r="D293" t="s">
        <v>20</v>
      </c>
    </row>
    <row r="294" spans="1:4" x14ac:dyDescent="0.2">
      <c r="A294" t="s">
        <v>142</v>
      </c>
      <c r="C294" s="5">
        <v>47.1</v>
      </c>
      <c r="D294" t="s">
        <v>20</v>
      </c>
    </row>
    <row r="295" spans="1:4" x14ac:dyDescent="0.2">
      <c r="A295" t="s">
        <v>53</v>
      </c>
      <c r="C295" s="7">
        <v>2.27</v>
      </c>
      <c r="D295" t="s">
        <v>20</v>
      </c>
    </row>
    <row r="296" spans="1:4" x14ac:dyDescent="0.2">
      <c r="A296" t="s">
        <v>411</v>
      </c>
      <c r="C296" s="7">
        <v>345</v>
      </c>
      <c r="D296" t="s">
        <v>212</v>
      </c>
    </row>
    <row r="297" spans="1:4" x14ac:dyDescent="0.2">
      <c r="A297" t="s">
        <v>412</v>
      </c>
      <c r="C297" s="7">
        <v>690</v>
      </c>
      <c r="D297" t="s">
        <v>212</v>
      </c>
    </row>
    <row r="298" spans="1:4" x14ac:dyDescent="0.2">
      <c r="A298" t="s">
        <v>413</v>
      </c>
      <c r="C298" s="7">
        <v>920</v>
      </c>
      <c r="D298" t="s">
        <v>212</v>
      </c>
    </row>
    <row r="299" spans="1:4" x14ac:dyDescent="0.2">
      <c r="A299" t="s">
        <v>414</v>
      </c>
      <c r="C299" s="7">
        <v>529</v>
      </c>
      <c r="D299" t="s">
        <v>212</v>
      </c>
    </row>
    <row r="300" spans="1:4" x14ac:dyDescent="0.2">
      <c r="A300" t="s">
        <v>416</v>
      </c>
      <c r="C300" s="7">
        <v>1035</v>
      </c>
      <c r="D300" t="s">
        <v>212</v>
      </c>
    </row>
    <row r="301" spans="1:4" x14ac:dyDescent="0.2">
      <c r="A301" t="s">
        <v>415</v>
      </c>
      <c r="C301" s="7">
        <v>1748</v>
      </c>
      <c r="D301" t="s">
        <v>212</v>
      </c>
    </row>
    <row r="302" spans="1:4" x14ac:dyDescent="0.2">
      <c r="A302" t="s">
        <v>54</v>
      </c>
      <c r="C302" s="7">
        <v>39.1</v>
      </c>
      <c r="D302" t="s">
        <v>20</v>
      </c>
    </row>
    <row r="303" spans="1:4" x14ac:dyDescent="0.2">
      <c r="A303" t="s">
        <v>40</v>
      </c>
      <c r="C303" s="7">
        <v>21</v>
      </c>
      <c r="D303" t="s">
        <v>20</v>
      </c>
    </row>
    <row r="304" spans="1:4" x14ac:dyDescent="0.2">
      <c r="A304" t="s">
        <v>41</v>
      </c>
      <c r="C304" s="7">
        <v>24</v>
      </c>
      <c r="D304" t="s">
        <v>20</v>
      </c>
    </row>
    <row r="305" spans="1:5" x14ac:dyDescent="0.2">
      <c r="A305" t="s">
        <v>38</v>
      </c>
      <c r="C305" s="7">
        <v>14.5</v>
      </c>
      <c r="D305" t="s">
        <v>20</v>
      </c>
      <c r="E305" s="3"/>
    </row>
    <row r="306" spans="1:5" x14ac:dyDescent="0.2">
      <c r="A306" t="s">
        <v>39</v>
      </c>
      <c r="C306" s="7">
        <v>18</v>
      </c>
      <c r="D306" t="s">
        <v>20</v>
      </c>
    </row>
    <row r="307" spans="1:5" x14ac:dyDescent="0.2">
      <c r="A307" t="s">
        <v>45</v>
      </c>
      <c r="C307" s="7">
        <v>31</v>
      </c>
      <c r="D307" t="s">
        <v>20</v>
      </c>
    </row>
    <row r="308" spans="1:5" x14ac:dyDescent="0.2">
      <c r="A308" t="s">
        <v>46</v>
      </c>
      <c r="C308" s="7">
        <v>36.5</v>
      </c>
      <c r="D308" t="s">
        <v>20</v>
      </c>
    </row>
    <row r="309" spans="1:5" x14ac:dyDescent="0.2">
      <c r="A309" t="s">
        <v>47</v>
      </c>
      <c r="C309" s="7">
        <v>58</v>
      </c>
      <c r="D309" t="s">
        <v>20</v>
      </c>
    </row>
    <row r="310" spans="1:5" x14ac:dyDescent="0.2">
      <c r="A310" t="s">
        <v>42</v>
      </c>
      <c r="C310" s="7">
        <v>24</v>
      </c>
      <c r="D310" t="s">
        <v>20</v>
      </c>
    </row>
    <row r="311" spans="1:5" x14ac:dyDescent="0.2">
      <c r="A311" t="s">
        <v>43</v>
      </c>
      <c r="C311" s="7">
        <v>28</v>
      </c>
      <c r="D311" t="s">
        <v>20</v>
      </c>
    </row>
    <row r="312" spans="1:5" x14ac:dyDescent="0.2">
      <c r="A312" t="s">
        <v>44</v>
      </c>
      <c r="C312" s="7">
        <v>20</v>
      </c>
      <c r="D312" t="s">
        <v>20</v>
      </c>
    </row>
    <row r="313" spans="1:5" x14ac:dyDescent="0.2">
      <c r="A313" t="s">
        <v>393</v>
      </c>
      <c r="C313" s="21">
        <f>450/200</f>
        <v>2.25</v>
      </c>
      <c r="D313" t="s">
        <v>198</v>
      </c>
    </row>
    <row r="314" spans="1:5" x14ac:dyDescent="0.2">
      <c r="A314" t="s">
        <v>322</v>
      </c>
      <c r="C314" s="21">
        <f>530/400</f>
        <v>1.325</v>
      </c>
      <c r="D314" t="s">
        <v>198</v>
      </c>
    </row>
    <row r="315" spans="1:5" x14ac:dyDescent="0.2">
      <c r="A315" t="s">
        <v>336</v>
      </c>
      <c r="C315" s="21">
        <f>530/250</f>
        <v>2.12</v>
      </c>
      <c r="D315" t="s">
        <v>198</v>
      </c>
    </row>
    <row r="316" spans="1:5" x14ac:dyDescent="0.2">
      <c r="A316" t="s">
        <v>329</v>
      </c>
      <c r="C316" s="21">
        <f>530/200</f>
        <v>2.65</v>
      </c>
      <c r="D316" t="s">
        <v>198</v>
      </c>
    </row>
    <row r="317" spans="1:5" x14ac:dyDescent="0.2">
      <c r="A317" t="s">
        <v>323</v>
      </c>
      <c r="C317" s="21">
        <f>530/266.66</f>
        <v>1.9875496887422184</v>
      </c>
      <c r="D317" t="s">
        <v>198</v>
      </c>
    </row>
    <row r="318" spans="1:5" x14ac:dyDescent="0.2">
      <c r="A318" t="s">
        <v>337</v>
      </c>
      <c r="C318" s="21">
        <f>530/166.66</f>
        <v>3.1801272050882035</v>
      </c>
      <c r="D318" t="s">
        <v>198</v>
      </c>
    </row>
    <row r="319" spans="1:5" x14ac:dyDescent="0.2">
      <c r="A319" t="s">
        <v>330</v>
      </c>
      <c r="C319" s="21">
        <f>530/133.33</f>
        <v>3.9750993774844368</v>
      </c>
      <c r="D319" t="s">
        <v>198</v>
      </c>
    </row>
    <row r="320" spans="1:5" x14ac:dyDescent="0.2">
      <c r="A320" t="s">
        <v>324</v>
      </c>
      <c r="C320" s="21">
        <f>530/200</f>
        <v>2.65</v>
      </c>
      <c r="D320" t="s">
        <v>198</v>
      </c>
    </row>
    <row r="321" spans="1:4" x14ac:dyDescent="0.2">
      <c r="A321" t="s">
        <v>338</v>
      </c>
      <c r="C321" s="21">
        <f>530/125</f>
        <v>4.24</v>
      </c>
      <c r="D321" t="s">
        <v>198</v>
      </c>
    </row>
    <row r="322" spans="1:4" x14ac:dyDescent="0.2">
      <c r="A322" t="s">
        <v>331</v>
      </c>
      <c r="C322" s="21">
        <f>530/100</f>
        <v>5.3</v>
      </c>
      <c r="D322" t="s">
        <v>198</v>
      </c>
    </row>
    <row r="323" spans="1:4" x14ac:dyDescent="0.2">
      <c r="A323" t="s">
        <v>325</v>
      </c>
      <c r="C323" s="21">
        <f>530/160</f>
        <v>3.3125</v>
      </c>
      <c r="D323" t="s">
        <v>198</v>
      </c>
    </row>
    <row r="324" spans="1:4" x14ac:dyDescent="0.2">
      <c r="A324" t="s">
        <v>339</v>
      </c>
      <c r="C324" s="21">
        <f>530/100</f>
        <v>5.3</v>
      </c>
      <c r="D324" t="s">
        <v>198</v>
      </c>
    </row>
    <row r="325" spans="1:4" x14ac:dyDescent="0.2">
      <c r="A325" t="s">
        <v>332</v>
      </c>
      <c r="C325" s="21">
        <f>530/80</f>
        <v>6.625</v>
      </c>
      <c r="D325" t="s">
        <v>198</v>
      </c>
    </row>
    <row r="326" spans="1:4" x14ac:dyDescent="0.2">
      <c r="A326" t="s">
        <v>340</v>
      </c>
      <c r="C326" s="21">
        <f>530/83.33</f>
        <v>6.3602544101764069</v>
      </c>
      <c r="D326" t="s">
        <v>198</v>
      </c>
    </row>
    <row r="327" spans="1:4" x14ac:dyDescent="0.2">
      <c r="A327" t="s">
        <v>333</v>
      </c>
      <c r="C327" s="21">
        <f>530/66.67</f>
        <v>7.9496025198740057</v>
      </c>
      <c r="D327" t="s">
        <v>198</v>
      </c>
    </row>
    <row r="328" spans="1:4" x14ac:dyDescent="0.2">
      <c r="A328" t="s">
        <v>321</v>
      </c>
      <c r="C328" s="21">
        <f>530/800</f>
        <v>0.66249999999999998</v>
      </c>
      <c r="D328" t="s">
        <v>198</v>
      </c>
    </row>
    <row r="329" spans="1:4" x14ac:dyDescent="0.2">
      <c r="A329" t="s">
        <v>334</v>
      </c>
      <c r="C329" s="21">
        <f>530/500</f>
        <v>1.06</v>
      </c>
      <c r="D329" t="s">
        <v>198</v>
      </c>
    </row>
    <row r="330" spans="1:4" x14ac:dyDescent="0.2">
      <c r="A330" t="s">
        <v>327</v>
      </c>
      <c r="C330" s="21">
        <f>530/400</f>
        <v>1.325</v>
      </c>
      <c r="D330" t="s">
        <v>198</v>
      </c>
    </row>
    <row r="331" spans="1:4" x14ac:dyDescent="0.2">
      <c r="A331" t="s">
        <v>362</v>
      </c>
      <c r="C331" s="21">
        <f>530/533.33</f>
        <v>0.9937562109763185</v>
      </c>
      <c r="D331" t="s">
        <v>198</v>
      </c>
    </row>
    <row r="332" spans="1:4" x14ac:dyDescent="0.2">
      <c r="A332" t="s">
        <v>335</v>
      </c>
      <c r="C332" s="21">
        <f>530/333.33</f>
        <v>1.5900159001590017</v>
      </c>
      <c r="D332" t="s">
        <v>198</v>
      </c>
    </row>
    <row r="333" spans="1:4" x14ac:dyDescent="0.2">
      <c r="A333" t="s">
        <v>328</v>
      </c>
      <c r="C333" s="21">
        <f>530/266.67</f>
        <v>1.9874751565605429</v>
      </c>
      <c r="D333" t="s">
        <v>198</v>
      </c>
    </row>
    <row r="334" spans="1:4" x14ac:dyDescent="0.2">
      <c r="A334" t="s">
        <v>326</v>
      </c>
      <c r="C334" s="21">
        <f>530/133.33</f>
        <v>3.9750993774844368</v>
      </c>
      <c r="D334" t="s">
        <v>198</v>
      </c>
    </row>
    <row r="335" spans="1:4" x14ac:dyDescent="0.2">
      <c r="A335" t="s">
        <v>24</v>
      </c>
      <c r="B335" s="5">
        <v>600</v>
      </c>
      <c r="C335" s="5">
        <v>1120</v>
      </c>
      <c r="D335" t="s">
        <v>1</v>
      </c>
    </row>
    <row r="336" spans="1:4" x14ac:dyDescent="0.2">
      <c r="A336" t="s">
        <v>343</v>
      </c>
      <c r="C336" s="21">
        <f>560/400</f>
        <v>1.4</v>
      </c>
      <c r="D336" t="s">
        <v>198</v>
      </c>
    </row>
    <row r="337" spans="1:4" x14ac:dyDescent="0.2">
      <c r="A337" t="s">
        <v>357</v>
      </c>
      <c r="C337" s="21">
        <f>560/250</f>
        <v>2.2400000000000002</v>
      </c>
      <c r="D337" t="s">
        <v>198</v>
      </c>
    </row>
    <row r="338" spans="1:4" x14ac:dyDescent="0.2">
      <c r="A338" t="s">
        <v>350</v>
      </c>
      <c r="C338" s="21">
        <f>560/200</f>
        <v>2.8</v>
      </c>
      <c r="D338" t="s">
        <v>198</v>
      </c>
    </row>
    <row r="339" spans="1:4" x14ac:dyDescent="0.2">
      <c r="A339" t="s">
        <v>358</v>
      </c>
      <c r="C339" s="21">
        <f>560/166.66</f>
        <v>3.3601344053762152</v>
      </c>
      <c r="D339" t="s">
        <v>198</v>
      </c>
    </row>
    <row r="340" spans="1:4" x14ac:dyDescent="0.2">
      <c r="A340" t="s">
        <v>351</v>
      </c>
      <c r="C340" s="21">
        <f>560/133.33</f>
        <v>4.2001050026250653</v>
      </c>
      <c r="D340" t="s">
        <v>198</v>
      </c>
    </row>
    <row r="341" spans="1:4" x14ac:dyDescent="0.2">
      <c r="A341" t="s">
        <v>345</v>
      </c>
      <c r="C341" s="21">
        <f>560/200</f>
        <v>2.8</v>
      </c>
      <c r="D341" t="s">
        <v>198</v>
      </c>
    </row>
    <row r="342" spans="1:4" x14ac:dyDescent="0.2">
      <c r="A342" t="s">
        <v>359</v>
      </c>
      <c r="C342" s="21">
        <f>560/125</f>
        <v>4.4800000000000004</v>
      </c>
      <c r="D342" t="s">
        <v>198</v>
      </c>
    </row>
    <row r="343" spans="1:4" x14ac:dyDescent="0.2">
      <c r="A343" t="s">
        <v>352</v>
      </c>
      <c r="C343" s="21">
        <f>560/100</f>
        <v>5.6</v>
      </c>
      <c r="D343" t="s">
        <v>198</v>
      </c>
    </row>
    <row r="344" spans="1:4" x14ac:dyDescent="0.2">
      <c r="A344" t="s">
        <v>346</v>
      </c>
      <c r="C344" s="21">
        <f>560/160</f>
        <v>3.5</v>
      </c>
      <c r="D344" t="s">
        <v>198</v>
      </c>
    </row>
    <row r="345" spans="1:4" x14ac:dyDescent="0.2">
      <c r="A345" t="s">
        <v>360</v>
      </c>
      <c r="C345" s="21">
        <f>560/100</f>
        <v>5.6</v>
      </c>
      <c r="D345" t="s">
        <v>198</v>
      </c>
    </row>
    <row r="346" spans="1:4" x14ac:dyDescent="0.2">
      <c r="A346" t="s">
        <v>353</v>
      </c>
      <c r="C346" s="21">
        <f>560/80</f>
        <v>7</v>
      </c>
      <c r="D346" t="s">
        <v>198</v>
      </c>
    </row>
    <row r="347" spans="1:4" x14ac:dyDescent="0.2">
      <c r="A347" t="s">
        <v>347</v>
      </c>
      <c r="C347" s="21">
        <f>560/133.33</f>
        <v>4.2001050026250653</v>
      </c>
      <c r="D347" t="s">
        <v>198</v>
      </c>
    </row>
    <row r="348" spans="1:4" x14ac:dyDescent="0.2">
      <c r="A348" t="s">
        <v>361</v>
      </c>
      <c r="C348" s="21">
        <f>560/83.33</f>
        <v>6.7202688107524304</v>
      </c>
      <c r="D348" t="s">
        <v>198</v>
      </c>
    </row>
    <row r="349" spans="1:4" x14ac:dyDescent="0.2">
      <c r="A349" t="s">
        <v>354</v>
      </c>
      <c r="C349" s="21">
        <f>560/66.67</f>
        <v>8.3995800209989504</v>
      </c>
      <c r="D349" t="s">
        <v>198</v>
      </c>
    </row>
    <row r="350" spans="1:4" x14ac:dyDescent="0.2">
      <c r="A350" t="s">
        <v>341</v>
      </c>
      <c r="C350" s="21">
        <f>560/800</f>
        <v>0.7</v>
      </c>
      <c r="D350" t="s">
        <v>198</v>
      </c>
    </row>
    <row r="351" spans="1:4" x14ac:dyDescent="0.2">
      <c r="A351" t="s">
        <v>355</v>
      </c>
      <c r="C351" s="21">
        <f>560/500</f>
        <v>1.1200000000000001</v>
      </c>
      <c r="D351" t="s">
        <v>198</v>
      </c>
    </row>
    <row r="352" spans="1:4" x14ac:dyDescent="0.2">
      <c r="A352" t="s">
        <v>348</v>
      </c>
      <c r="C352" s="21">
        <f>560/400</f>
        <v>1.4</v>
      </c>
      <c r="D352" t="s">
        <v>198</v>
      </c>
    </row>
    <row r="353" spans="1:4" x14ac:dyDescent="0.2">
      <c r="A353" t="s">
        <v>342</v>
      </c>
      <c r="C353" s="21">
        <f>560/533.33</f>
        <v>1.0500065625410158</v>
      </c>
      <c r="D353" t="s">
        <v>198</v>
      </c>
    </row>
    <row r="354" spans="1:4" x14ac:dyDescent="0.2">
      <c r="A354" t="s">
        <v>356</v>
      </c>
      <c r="C354" s="21">
        <f>560/333.33</f>
        <v>1.6800168001680018</v>
      </c>
      <c r="D354" t="s">
        <v>198</v>
      </c>
    </row>
    <row r="355" spans="1:4" x14ac:dyDescent="0.2">
      <c r="A355" t="s">
        <v>349</v>
      </c>
      <c r="C355" s="21">
        <f>560/266.67</f>
        <v>2.0999737503281208</v>
      </c>
      <c r="D355" t="s">
        <v>198</v>
      </c>
    </row>
    <row r="356" spans="1:4" x14ac:dyDescent="0.2">
      <c r="A356" t="s">
        <v>344</v>
      </c>
      <c r="C356" s="21">
        <f>560/266.66</f>
        <v>2.1000525013125326</v>
      </c>
      <c r="D356" t="s">
        <v>198</v>
      </c>
    </row>
    <row r="357" spans="1:4" x14ac:dyDescent="0.2">
      <c r="A357" t="s">
        <v>386</v>
      </c>
      <c r="C357" s="21">
        <f>450/400</f>
        <v>1.125</v>
      </c>
      <c r="D357" t="s">
        <v>198</v>
      </c>
    </row>
    <row r="358" spans="1:4" x14ac:dyDescent="0.2">
      <c r="A358" t="s">
        <v>400</v>
      </c>
      <c r="C358" s="21">
        <f>450/250</f>
        <v>1.8</v>
      </c>
      <c r="D358" t="s">
        <v>198</v>
      </c>
    </row>
    <row r="359" spans="1:4" x14ac:dyDescent="0.2">
      <c r="A359" t="s">
        <v>387</v>
      </c>
      <c r="C359" s="21">
        <f>450/266.66</f>
        <v>1.6875421885547137</v>
      </c>
      <c r="D359" t="s">
        <v>198</v>
      </c>
    </row>
    <row r="360" spans="1:4" x14ac:dyDescent="0.2">
      <c r="A360" t="s">
        <v>401</v>
      </c>
      <c r="C360" s="21">
        <f>450/166.66</f>
        <v>2.7001080043201728</v>
      </c>
      <c r="D360" t="s">
        <v>198</v>
      </c>
    </row>
    <row r="361" spans="1:4" x14ac:dyDescent="0.2">
      <c r="A361" t="s">
        <v>394</v>
      </c>
      <c r="C361" s="21">
        <f>450/133.33</f>
        <v>3.3750843771094274</v>
      </c>
      <c r="D361" t="s">
        <v>198</v>
      </c>
    </row>
    <row r="362" spans="1:4" x14ac:dyDescent="0.2">
      <c r="A362" t="s">
        <v>388</v>
      </c>
      <c r="C362" s="21">
        <f>450/200</f>
        <v>2.25</v>
      </c>
      <c r="D362" t="s">
        <v>198</v>
      </c>
    </row>
    <row r="363" spans="1:4" x14ac:dyDescent="0.2">
      <c r="A363" t="s">
        <v>402</v>
      </c>
      <c r="C363" s="21">
        <f>450/125</f>
        <v>3.6</v>
      </c>
      <c r="D363" t="s">
        <v>198</v>
      </c>
    </row>
    <row r="364" spans="1:4" x14ac:dyDescent="0.2">
      <c r="A364" t="s">
        <v>395</v>
      </c>
      <c r="C364" s="21">
        <f>450/100</f>
        <v>4.5</v>
      </c>
      <c r="D364" t="s">
        <v>198</v>
      </c>
    </row>
    <row r="365" spans="1:4" x14ac:dyDescent="0.2">
      <c r="A365" t="s">
        <v>389</v>
      </c>
      <c r="C365" s="21">
        <f>450/160</f>
        <v>2.8125</v>
      </c>
      <c r="D365" t="s">
        <v>198</v>
      </c>
    </row>
    <row r="366" spans="1:4" x14ac:dyDescent="0.2">
      <c r="A366" t="s">
        <v>403</v>
      </c>
      <c r="C366" s="21">
        <f>450/100</f>
        <v>4.5</v>
      </c>
      <c r="D366" t="s">
        <v>198</v>
      </c>
    </row>
    <row r="367" spans="1:4" x14ac:dyDescent="0.2">
      <c r="A367" t="s">
        <v>396</v>
      </c>
      <c r="C367" s="21">
        <f>450/80</f>
        <v>5.625</v>
      </c>
      <c r="D367" t="s">
        <v>198</v>
      </c>
    </row>
    <row r="368" spans="1:4" x14ac:dyDescent="0.2">
      <c r="A368" t="s">
        <v>390</v>
      </c>
      <c r="C368" s="21">
        <f>450/133.33</f>
        <v>3.3750843771094274</v>
      </c>
      <c r="D368" t="s">
        <v>198</v>
      </c>
    </row>
    <row r="369" spans="1:5" x14ac:dyDescent="0.2">
      <c r="A369" t="s">
        <v>404</v>
      </c>
      <c r="C369" s="21">
        <f>450/83.33</f>
        <v>5.4002160086403457</v>
      </c>
      <c r="D369" t="s">
        <v>198</v>
      </c>
    </row>
    <row r="370" spans="1:5" x14ac:dyDescent="0.2">
      <c r="A370" t="s">
        <v>397</v>
      </c>
      <c r="C370" s="21">
        <f>450/66.67</f>
        <v>6.7496625168741557</v>
      </c>
      <c r="D370" t="s">
        <v>198</v>
      </c>
    </row>
    <row r="371" spans="1:5" x14ac:dyDescent="0.2">
      <c r="A371" t="s">
        <v>384</v>
      </c>
      <c r="C371" s="21">
        <f>450/800</f>
        <v>0.5625</v>
      </c>
      <c r="D371" t="s">
        <v>198</v>
      </c>
    </row>
    <row r="372" spans="1:5" x14ac:dyDescent="0.2">
      <c r="A372" t="s">
        <v>398</v>
      </c>
      <c r="C372" s="21">
        <f>450/500</f>
        <v>0.9</v>
      </c>
      <c r="D372" t="s">
        <v>198</v>
      </c>
    </row>
    <row r="373" spans="1:5" x14ac:dyDescent="0.2">
      <c r="A373" t="s">
        <v>391</v>
      </c>
      <c r="C373" s="21">
        <f>450/400</f>
        <v>1.125</v>
      </c>
      <c r="D373" t="s">
        <v>198</v>
      </c>
    </row>
    <row r="374" spans="1:5" x14ac:dyDescent="0.2">
      <c r="A374" t="s">
        <v>385</v>
      </c>
      <c r="C374" s="21">
        <f>450/533.33</f>
        <v>0.84375527347045909</v>
      </c>
      <c r="D374" t="s">
        <v>198</v>
      </c>
    </row>
    <row r="375" spans="1:5" x14ac:dyDescent="0.2">
      <c r="A375" t="s">
        <v>399</v>
      </c>
      <c r="C375" s="21">
        <f>450/333.33</f>
        <v>1.3500135001350013</v>
      </c>
      <c r="D375" t="s">
        <v>198</v>
      </c>
    </row>
    <row r="376" spans="1:5" x14ac:dyDescent="0.2">
      <c r="A376" t="s">
        <v>392</v>
      </c>
      <c r="C376" s="21">
        <f>450/266.67</f>
        <v>1.6874789065136684</v>
      </c>
      <c r="D376" t="s">
        <v>198</v>
      </c>
    </row>
    <row r="377" spans="1:5" x14ac:dyDescent="0.2">
      <c r="A377" t="s">
        <v>302</v>
      </c>
      <c r="C377" s="5">
        <f>480/400</f>
        <v>1.2</v>
      </c>
      <c r="D377" t="s">
        <v>198</v>
      </c>
      <c r="E377" t="s">
        <v>184</v>
      </c>
    </row>
    <row r="378" spans="1:5" x14ac:dyDescent="0.2">
      <c r="A378" t="s">
        <v>316</v>
      </c>
      <c r="C378" s="21">
        <f>480/250</f>
        <v>1.92</v>
      </c>
      <c r="D378" t="s">
        <v>198</v>
      </c>
      <c r="E378" t="s">
        <v>184</v>
      </c>
    </row>
    <row r="379" spans="1:5" x14ac:dyDescent="0.2">
      <c r="A379" t="s">
        <v>309</v>
      </c>
      <c r="C379" s="5">
        <f>480/200</f>
        <v>2.4</v>
      </c>
      <c r="D379" t="s">
        <v>198</v>
      </c>
      <c r="E379" t="s">
        <v>184</v>
      </c>
    </row>
    <row r="380" spans="1:5" x14ac:dyDescent="0.2">
      <c r="A380" t="s">
        <v>303</v>
      </c>
      <c r="C380" s="21">
        <f>480/266.66</f>
        <v>1.800045001125028</v>
      </c>
      <c r="D380" t="s">
        <v>198</v>
      </c>
      <c r="E380" t="s">
        <v>184</v>
      </c>
    </row>
    <row r="381" spans="1:5" x14ac:dyDescent="0.2">
      <c r="A381" t="s">
        <v>317</v>
      </c>
      <c r="C381" s="21">
        <f>480/166.66</f>
        <v>2.8801152046081846</v>
      </c>
      <c r="D381" t="s">
        <v>198</v>
      </c>
      <c r="E381" t="s">
        <v>184</v>
      </c>
    </row>
    <row r="382" spans="1:5" x14ac:dyDescent="0.2">
      <c r="A382" t="s">
        <v>310</v>
      </c>
      <c r="C382" s="21">
        <f>480/133.33</f>
        <v>3.6000900022500559</v>
      </c>
      <c r="D382" t="s">
        <v>198</v>
      </c>
      <c r="E382" t="s">
        <v>184</v>
      </c>
    </row>
    <row r="383" spans="1:5" x14ac:dyDescent="0.2">
      <c r="A383" t="s">
        <v>304</v>
      </c>
      <c r="C383" s="5">
        <f>480/200</f>
        <v>2.4</v>
      </c>
      <c r="D383" t="s">
        <v>198</v>
      </c>
      <c r="E383" t="s">
        <v>184</v>
      </c>
    </row>
    <row r="384" spans="1:5" x14ac:dyDescent="0.2">
      <c r="A384" t="s">
        <v>318</v>
      </c>
      <c r="C384" s="21">
        <f>480/125</f>
        <v>3.84</v>
      </c>
      <c r="D384" t="s">
        <v>198</v>
      </c>
      <c r="E384" t="s">
        <v>184</v>
      </c>
    </row>
    <row r="385" spans="1:5" x14ac:dyDescent="0.2">
      <c r="A385" t="s">
        <v>311</v>
      </c>
      <c r="C385" s="21">
        <f>480/100</f>
        <v>4.8</v>
      </c>
      <c r="D385" t="s">
        <v>198</v>
      </c>
      <c r="E385" t="s">
        <v>184</v>
      </c>
    </row>
    <row r="386" spans="1:5" x14ac:dyDescent="0.2">
      <c r="A386" t="s">
        <v>305</v>
      </c>
      <c r="C386" s="5">
        <f>480/160</f>
        <v>3</v>
      </c>
      <c r="D386" t="s">
        <v>198</v>
      </c>
      <c r="E386" t="s">
        <v>184</v>
      </c>
    </row>
    <row r="387" spans="1:5" x14ac:dyDescent="0.2">
      <c r="A387" t="s">
        <v>319</v>
      </c>
      <c r="C387" s="21">
        <f>480/100</f>
        <v>4.8</v>
      </c>
      <c r="D387" t="s">
        <v>198</v>
      </c>
      <c r="E387" t="s">
        <v>184</v>
      </c>
    </row>
    <row r="388" spans="1:5" x14ac:dyDescent="0.2">
      <c r="A388" t="s">
        <v>312</v>
      </c>
      <c r="C388" s="21">
        <f>480/80</f>
        <v>6</v>
      </c>
      <c r="D388" t="s">
        <v>198</v>
      </c>
      <c r="E388" t="s">
        <v>184</v>
      </c>
    </row>
    <row r="389" spans="1:5" x14ac:dyDescent="0.2">
      <c r="A389" t="s">
        <v>306</v>
      </c>
      <c r="C389" s="21">
        <f>480/133.33</f>
        <v>3.6000900022500559</v>
      </c>
      <c r="D389" t="s">
        <v>198</v>
      </c>
      <c r="E389" t="s">
        <v>184</v>
      </c>
    </row>
    <row r="390" spans="1:5" x14ac:dyDescent="0.2">
      <c r="A390" t="s">
        <v>320</v>
      </c>
      <c r="C390" s="21">
        <f>480/83.33</f>
        <v>5.7602304092163692</v>
      </c>
      <c r="D390" t="s">
        <v>198</v>
      </c>
      <c r="E390" t="s">
        <v>184</v>
      </c>
    </row>
    <row r="391" spans="1:5" x14ac:dyDescent="0.2">
      <c r="A391" t="s">
        <v>313</v>
      </c>
      <c r="C391" s="21">
        <f>480/66.67</f>
        <v>7.1996400179990996</v>
      </c>
      <c r="D391" t="s">
        <v>198</v>
      </c>
      <c r="E391" t="s">
        <v>184</v>
      </c>
    </row>
    <row r="392" spans="1:5" x14ac:dyDescent="0.2">
      <c r="A392" t="s">
        <v>300</v>
      </c>
      <c r="C392" s="5">
        <f>480/800</f>
        <v>0.6</v>
      </c>
      <c r="D392" t="s">
        <v>198</v>
      </c>
      <c r="E392" t="s">
        <v>184</v>
      </c>
    </row>
    <row r="393" spans="1:5" x14ac:dyDescent="0.2">
      <c r="A393" t="s">
        <v>314</v>
      </c>
      <c r="C393" s="21">
        <f>480/500</f>
        <v>0.96</v>
      </c>
      <c r="D393" t="s">
        <v>198</v>
      </c>
      <c r="E393" t="s">
        <v>184</v>
      </c>
    </row>
    <row r="394" spans="1:5" x14ac:dyDescent="0.2">
      <c r="A394" t="s">
        <v>307</v>
      </c>
      <c r="C394" s="5">
        <f>480/400</f>
        <v>1.2</v>
      </c>
      <c r="D394" t="s">
        <v>198</v>
      </c>
      <c r="E394" t="s">
        <v>184</v>
      </c>
    </row>
    <row r="395" spans="1:5" x14ac:dyDescent="0.2">
      <c r="A395" t="s">
        <v>301</v>
      </c>
      <c r="C395" s="21">
        <f>480/533.33</f>
        <v>0.90000562503515635</v>
      </c>
      <c r="D395" t="s">
        <v>198</v>
      </c>
      <c r="E395" t="s">
        <v>184</v>
      </c>
    </row>
    <row r="396" spans="1:5" x14ac:dyDescent="0.2">
      <c r="A396" t="s">
        <v>315</v>
      </c>
      <c r="C396" s="21">
        <f>480/333.33</f>
        <v>1.4400144001440016</v>
      </c>
      <c r="D396" t="s">
        <v>198</v>
      </c>
      <c r="E396" t="s">
        <v>184</v>
      </c>
    </row>
    <row r="397" spans="1:5" x14ac:dyDescent="0.2">
      <c r="A397" t="s">
        <v>308</v>
      </c>
      <c r="C397" s="21">
        <f>480/266.67</f>
        <v>1.7999775002812464</v>
      </c>
      <c r="D397" t="s">
        <v>198</v>
      </c>
      <c r="E397" t="s">
        <v>184</v>
      </c>
    </row>
    <row r="398" spans="1:5" x14ac:dyDescent="0.2">
      <c r="A398" t="s">
        <v>365</v>
      </c>
      <c r="C398" s="21">
        <f>560/400</f>
        <v>1.4</v>
      </c>
      <c r="D398" t="s">
        <v>198</v>
      </c>
    </row>
    <row r="399" spans="1:5" x14ac:dyDescent="0.2">
      <c r="A399" t="s">
        <v>379</v>
      </c>
      <c r="C399" s="21">
        <f>560/250</f>
        <v>2.2400000000000002</v>
      </c>
      <c r="D399" t="s">
        <v>198</v>
      </c>
    </row>
    <row r="400" spans="1:5" x14ac:dyDescent="0.2">
      <c r="A400" t="s">
        <v>372</v>
      </c>
      <c r="C400" s="21">
        <f>560/200</f>
        <v>2.8</v>
      </c>
      <c r="D400" t="s">
        <v>198</v>
      </c>
    </row>
    <row r="401" spans="1:4" x14ac:dyDescent="0.2">
      <c r="A401" t="s">
        <v>366</v>
      </c>
      <c r="C401" s="21">
        <f>560/266.66</f>
        <v>2.1000525013125326</v>
      </c>
      <c r="D401" t="s">
        <v>198</v>
      </c>
    </row>
    <row r="402" spans="1:4" x14ac:dyDescent="0.2">
      <c r="A402" t="s">
        <v>380</v>
      </c>
      <c r="C402" s="21">
        <f>560/166.66</f>
        <v>3.3601344053762152</v>
      </c>
      <c r="D402" t="s">
        <v>198</v>
      </c>
    </row>
    <row r="403" spans="1:4" x14ac:dyDescent="0.2">
      <c r="A403" t="s">
        <v>373</v>
      </c>
      <c r="C403" s="21">
        <f>560/133.33</f>
        <v>4.2001050026250653</v>
      </c>
      <c r="D403" t="s">
        <v>198</v>
      </c>
    </row>
    <row r="404" spans="1:4" x14ac:dyDescent="0.2">
      <c r="A404" t="s">
        <v>367</v>
      </c>
      <c r="C404" s="21">
        <f>560/200</f>
        <v>2.8</v>
      </c>
      <c r="D404" t="s">
        <v>198</v>
      </c>
    </row>
    <row r="405" spans="1:4" x14ac:dyDescent="0.2">
      <c r="A405" t="s">
        <v>381</v>
      </c>
      <c r="C405" s="21">
        <f>560/125</f>
        <v>4.4800000000000004</v>
      </c>
      <c r="D405" t="s">
        <v>198</v>
      </c>
    </row>
    <row r="406" spans="1:4" x14ac:dyDescent="0.2">
      <c r="A406" t="s">
        <v>374</v>
      </c>
      <c r="C406" s="21">
        <f>560/100</f>
        <v>5.6</v>
      </c>
      <c r="D406" t="s">
        <v>198</v>
      </c>
    </row>
    <row r="407" spans="1:4" x14ac:dyDescent="0.2">
      <c r="A407" t="s">
        <v>368</v>
      </c>
      <c r="C407" s="21">
        <f>560/160</f>
        <v>3.5</v>
      </c>
      <c r="D407" t="s">
        <v>198</v>
      </c>
    </row>
    <row r="408" spans="1:4" x14ac:dyDescent="0.2">
      <c r="A408" t="s">
        <v>382</v>
      </c>
      <c r="C408" s="21">
        <f>560/100</f>
        <v>5.6</v>
      </c>
      <c r="D408" t="s">
        <v>198</v>
      </c>
    </row>
    <row r="409" spans="1:4" x14ac:dyDescent="0.2">
      <c r="A409" t="s">
        <v>375</v>
      </c>
      <c r="C409" s="21">
        <f>560/80</f>
        <v>7</v>
      </c>
      <c r="D409" t="s">
        <v>198</v>
      </c>
    </row>
    <row r="410" spans="1:4" x14ac:dyDescent="0.2">
      <c r="A410" t="s">
        <v>369</v>
      </c>
      <c r="C410" s="21">
        <f>560/133.33</f>
        <v>4.2001050026250653</v>
      </c>
      <c r="D410" t="s">
        <v>198</v>
      </c>
    </row>
    <row r="411" spans="1:4" x14ac:dyDescent="0.2">
      <c r="A411" t="s">
        <v>383</v>
      </c>
      <c r="C411" s="21">
        <f>560/83.33</f>
        <v>6.7202688107524304</v>
      </c>
      <c r="D411" t="s">
        <v>198</v>
      </c>
    </row>
    <row r="412" spans="1:4" x14ac:dyDescent="0.2">
      <c r="A412" t="s">
        <v>376</v>
      </c>
      <c r="C412" s="21">
        <f>560/66.67</f>
        <v>8.3995800209989504</v>
      </c>
      <c r="D412" t="s">
        <v>198</v>
      </c>
    </row>
    <row r="413" spans="1:4" x14ac:dyDescent="0.2">
      <c r="A413" t="s">
        <v>363</v>
      </c>
      <c r="C413" s="21">
        <f>560/800</f>
        <v>0.7</v>
      </c>
      <c r="D413" t="s">
        <v>198</v>
      </c>
    </row>
    <row r="414" spans="1:4" x14ac:dyDescent="0.2">
      <c r="A414" t="s">
        <v>377</v>
      </c>
      <c r="C414" s="21">
        <f>560/500</f>
        <v>1.1200000000000001</v>
      </c>
      <c r="D414" t="s">
        <v>198</v>
      </c>
    </row>
    <row r="415" spans="1:4" x14ac:dyDescent="0.2">
      <c r="A415" t="s">
        <v>370</v>
      </c>
      <c r="C415" s="21">
        <f>560/400</f>
        <v>1.4</v>
      </c>
      <c r="D415" t="s">
        <v>198</v>
      </c>
    </row>
    <row r="416" spans="1:4" x14ac:dyDescent="0.2">
      <c r="A416" t="s">
        <v>364</v>
      </c>
      <c r="C416" s="21">
        <f>560/533.33</f>
        <v>1.0500065625410158</v>
      </c>
      <c r="D416" t="s">
        <v>198</v>
      </c>
    </row>
    <row r="417" spans="1:5" x14ac:dyDescent="0.2">
      <c r="A417" t="s">
        <v>378</v>
      </c>
      <c r="C417" s="21">
        <f>560/333.33</f>
        <v>1.6800168001680018</v>
      </c>
      <c r="D417" t="s">
        <v>198</v>
      </c>
    </row>
    <row r="418" spans="1:5" x14ac:dyDescent="0.2">
      <c r="A418" t="s">
        <v>371</v>
      </c>
      <c r="C418" s="21">
        <f>560/266.67</f>
        <v>2.0999737503281208</v>
      </c>
      <c r="D418" t="s">
        <v>198</v>
      </c>
    </row>
    <row r="419" spans="1:5" x14ac:dyDescent="0.2">
      <c r="A419" t="s">
        <v>25</v>
      </c>
      <c r="B419" s="5">
        <v>480</v>
      </c>
      <c r="C419" s="7">
        <v>560</v>
      </c>
      <c r="D419" t="s">
        <v>1</v>
      </c>
      <c r="E419" s="3"/>
    </row>
    <row r="420" spans="1:5" x14ac:dyDescent="0.2">
      <c r="A420" t="s">
        <v>126</v>
      </c>
      <c r="C420" s="5">
        <v>40</v>
      </c>
      <c r="D420" t="s">
        <v>20</v>
      </c>
      <c r="E420" t="s">
        <v>184</v>
      </c>
    </row>
    <row r="421" spans="1:5" x14ac:dyDescent="0.2">
      <c r="A421" t="s">
        <v>48</v>
      </c>
      <c r="C421" s="7">
        <v>25</v>
      </c>
      <c r="D421" t="s">
        <v>20</v>
      </c>
      <c r="E421" s="3" t="s">
        <v>184</v>
      </c>
    </row>
    <row r="422" spans="1:5" x14ac:dyDescent="0.2">
      <c r="A422" t="s">
        <v>15</v>
      </c>
      <c r="C422" s="5">
        <v>1000</v>
      </c>
      <c r="D422" t="s">
        <v>1</v>
      </c>
      <c r="E422" s="3" t="s">
        <v>184</v>
      </c>
    </row>
    <row r="423" spans="1:5" x14ac:dyDescent="0.2">
      <c r="A423" t="s">
        <v>28</v>
      </c>
      <c r="C423" s="7">
        <v>2</v>
      </c>
      <c r="D423" t="s">
        <v>20</v>
      </c>
      <c r="E423" s="3" t="s">
        <v>184</v>
      </c>
    </row>
    <row r="424" spans="1:5" x14ac:dyDescent="0.2">
      <c r="A424" t="s">
        <v>113</v>
      </c>
      <c r="C424" s="5">
        <v>8.3000000000000007</v>
      </c>
      <c r="D424" t="s">
        <v>20</v>
      </c>
      <c r="E424" t="s">
        <v>184</v>
      </c>
    </row>
    <row r="425" spans="1:5" x14ac:dyDescent="0.2">
      <c r="A425" t="s">
        <v>114</v>
      </c>
      <c r="C425" s="5">
        <v>9.1999999999999993</v>
      </c>
      <c r="D425" t="s">
        <v>20</v>
      </c>
      <c r="E425" t="s">
        <v>184</v>
      </c>
    </row>
    <row r="426" spans="1:5" x14ac:dyDescent="0.2">
      <c r="A426" t="s">
        <v>115</v>
      </c>
      <c r="C426" s="5">
        <v>10.6</v>
      </c>
      <c r="D426" t="s">
        <v>20</v>
      </c>
      <c r="E426" t="s">
        <v>184</v>
      </c>
    </row>
    <row r="427" spans="1:5" x14ac:dyDescent="0.2">
      <c r="A427" t="s">
        <v>111</v>
      </c>
      <c r="C427" s="5">
        <v>4</v>
      </c>
      <c r="D427" t="s">
        <v>20</v>
      </c>
      <c r="E427" t="s">
        <v>184</v>
      </c>
    </row>
    <row r="428" spans="1:5" x14ac:dyDescent="0.2">
      <c r="A428" t="s">
        <v>112</v>
      </c>
      <c r="C428" s="5">
        <v>5</v>
      </c>
      <c r="D428" t="s">
        <v>20</v>
      </c>
      <c r="E428" t="s">
        <v>184</v>
      </c>
    </row>
    <row r="429" spans="1:5" x14ac:dyDescent="0.2">
      <c r="A429" t="s">
        <v>109</v>
      </c>
      <c r="C429" s="5">
        <v>11</v>
      </c>
      <c r="D429" t="s">
        <v>20</v>
      </c>
    </row>
    <row r="430" spans="1:5" x14ac:dyDescent="0.2">
      <c r="A430" t="s">
        <v>110</v>
      </c>
      <c r="C430" s="5">
        <v>6.6</v>
      </c>
      <c r="D430" t="s">
        <v>20</v>
      </c>
    </row>
    <row r="431" spans="1:5" x14ac:dyDescent="0.2">
      <c r="A431" t="s">
        <v>107</v>
      </c>
      <c r="C431" s="7">
        <v>5.5</v>
      </c>
      <c r="D431" t="s">
        <v>20</v>
      </c>
      <c r="E431" s="3" t="s">
        <v>184</v>
      </c>
    </row>
    <row r="432" spans="1:5" x14ac:dyDescent="0.2">
      <c r="A432" t="s">
        <v>108</v>
      </c>
      <c r="C432" s="7">
        <v>6.6</v>
      </c>
      <c r="D432" t="s">
        <v>20</v>
      </c>
      <c r="E432" s="3" t="s">
        <v>184</v>
      </c>
    </row>
  </sheetData>
  <pageMargins left="0.7" right="0.7" top="0.75" bottom="0.75" header="0.3" footer="0.3"/>
  <pageSetup paperSize="9" orientation="portrait" horizontalDpi="0" verticalDpi="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103F6-6CDE-3345-917C-D8D105BD5A25}">
  <sheetPr>
    <tabColor rgb="FFFF0000"/>
  </sheetPr>
  <dimension ref="A1:B28"/>
  <sheetViews>
    <sheetView workbookViewId="0">
      <selection activeCell="A3" sqref="A3"/>
    </sheetView>
  </sheetViews>
  <sheetFormatPr baseColWidth="10" defaultRowHeight="19" x14ac:dyDescent="0.25"/>
  <cols>
    <col min="1" max="16384" width="10.83203125" style="27"/>
  </cols>
  <sheetData>
    <row r="1" spans="1:1" x14ac:dyDescent="0.25">
      <c r="A1" s="26" t="s">
        <v>161</v>
      </c>
    </row>
    <row r="2" spans="1:1" x14ac:dyDescent="0.25">
      <c r="A2" s="27" t="s">
        <v>195</v>
      </c>
    </row>
    <row r="3" spans="1:1" x14ac:dyDescent="0.25">
      <c r="A3" s="27" t="s">
        <v>567</v>
      </c>
    </row>
    <row r="5" spans="1:1" x14ac:dyDescent="0.25">
      <c r="A5" s="26" t="s">
        <v>172</v>
      </c>
    </row>
    <row r="6" spans="1:1" x14ac:dyDescent="0.25">
      <c r="A6" s="27" t="s">
        <v>162</v>
      </c>
    </row>
    <row r="7" spans="1:1" x14ac:dyDescent="0.25">
      <c r="A7" s="27" t="s">
        <v>163</v>
      </c>
    </row>
    <row r="9" spans="1:1" x14ac:dyDescent="0.25">
      <c r="A9" s="27" t="s">
        <v>164</v>
      </c>
    </row>
    <row r="10" spans="1:1" x14ac:dyDescent="0.25">
      <c r="A10" s="27" t="s">
        <v>165</v>
      </c>
    </row>
    <row r="11" spans="1:1" x14ac:dyDescent="0.25">
      <c r="A11" s="27" t="s">
        <v>166</v>
      </c>
    </row>
    <row r="13" spans="1:1" x14ac:dyDescent="0.25">
      <c r="A13" s="27" t="s">
        <v>167</v>
      </c>
    </row>
    <row r="15" spans="1:1" x14ac:dyDescent="0.25">
      <c r="A15" s="27" t="s">
        <v>196</v>
      </c>
    </row>
    <row r="16" spans="1:1" x14ac:dyDescent="0.25">
      <c r="A16" s="27" t="s">
        <v>197</v>
      </c>
    </row>
    <row r="18" spans="1:2" x14ac:dyDescent="0.25">
      <c r="A18" s="27" t="s">
        <v>168</v>
      </c>
    </row>
    <row r="19" spans="1:2" x14ac:dyDescent="0.25">
      <c r="A19" s="27" t="s">
        <v>169</v>
      </c>
    </row>
    <row r="21" spans="1:2" x14ac:dyDescent="0.25">
      <c r="A21" s="27" t="s">
        <v>482</v>
      </c>
    </row>
    <row r="22" spans="1:2" x14ac:dyDescent="0.25">
      <c r="A22" s="27" t="s">
        <v>483</v>
      </c>
    </row>
    <row r="23" spans="1:2" x14ac:dyDescent="0.25">
      <c r="A23" s="27" t="s">
        <v>484</v>
      </c>
    </row>
    <row r="27" spans="1:2" x14ac:dyDescent="0.25">
      <c r="A27" s="26" t="s">
        <v>170</v>
      </c>
      <c r="B27" s="26"/>
    </row>
    <row r="28" spans="1:2" x14ac:dyDescent="0.25">
      <c r="A28" s="26" t="s">
        <v>171</v>
      </c>
    </row>
  </sheetData>
  <sheetProtection algorithmName="SHA-512" hashValue="4/Zp0FGqL5qrNy4lTc9xFitZ2iK8EGUH571KX5Hvh/xzEjV2alsWdm7LmUCfJ/Flf3qhA2db5N/aFqAb9mVcmA==" saltValue="b53ehclPGDo/5MR/bb7q+Q==" spinCount="100000" sheet="1" objects="1" scenarios="1" selectLockedCells="1" selectUnlockedCells="1"/>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Front page NZDAA Cals</vt:lpstr>
      <vt:lpstr>MFE Emissions Guidance Waste</vt:lpstr>
      <vt:lpstr>Guide to using the MFE Sheet</vt:lpstr>
      <vt:lpstr>Calculations</vt:lpstr>
      <vt:lpstr>Conditions of Use NZDAA Cals</vt:lpstr>
      <vt:lpstr>Materials</vt:lpstr>
      <vt:lpstr>'Conditions of Use NZDAA Cals'!Print_Area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Helina Stil</dc:creator>
  <cp:lastModifiedBy>Helina Stil</cp:lastModifiedBy>
  <cp:lastPrinted>2024-04-22T21:29:06Z</cp:lastPrinted>
  <dcterms:created xsi:type="dcterms:W3CDTF">2024-04-04T21:40:48Z</dcterms:created>
  <dcterms:modified xsi:type="dcterms:W3CDTF">2024-05-27T23:26:39Z</dcterms:modified>
</cp:coreProperties>
</file>